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raumas-my.sharepoint.com/personal/ieva_klavina_tos_lv/Documents/Dokumenti/Dokumenti/2024 gads/BUDŽETA PLĀNS/2024gads izpilde/"/>
    </mc:Choice>
  </mc:AlternateContent>
  <xr:revisionPtr revIDLastSave="19" documentId="8_{258948AD-501B-4975-A04C-B91F25561D40}" xr6:coauthVersionLast="47" xr6:coauthVersionMax="47" xr10:uidLastSave="{FD60AAF5-513D-43B0-B749-2BA58946E96B}"/>
  <bookViews>
    <workbookView xWindow="-120" yWindow="-120" windowWidth="29040" windowHeight="15720" activeTab="4" xr2:uid="{00000000-000D-0000-FFFF-FFFF00000000}"/>
  </bookViews>
  <sheets>
    <sheet name="Budžeta tāme" sheetId="2" r:id="rId1"/>
    <sheet name="PZ Aprēķins" sheetId="12" r:id="rId2"/>
    <sheet name="Bilance" sheetId="11" r:id="rId3"/>
    <sheet name="Naudas plūsma" sheetId="5" r:id="rId4"/>
    <sheet name="Naturālie rādītāji" sheetId="10" r:id="rId5"/>
    <sheet name="Ieguldījumu tāme" sheetId="9" r:id="rId6"/>
    <sheet name="Kreditori, Debitori" sheetId="13" r:id="rId7"/>
  </sheets>
  <externalReferences>
    <externalReference r:id="rId8"/>
  </externalReferences>
  <definedNames>
    <definedName name="dff">#NAME?</definedName>
    <definedName name="_xlnm.Print_Area" localSheetId="2">Bilance!$A$1:$P$84</definedName>
    <definedName name="_xlnm.Print_Area" localSheetId="4">'Naturālie rādītāji'!$A$66:$X$71</definedName>
    <definedName name="_xlnm.Print_Titles" localSheetId="4">'Naturālie rādītāji'!#REF!</definedName>
    <definedName name="_xlnm.Print_Titles" localSheetId="3">'Naudas plūsma'!#REF!</definedName>
    <definedName name="_xlnm.Print_Titles" localSheetId="1">'PZ Aprēķins'!#REF!</definedName>
    <definedName name="hh" localSheetId="4">#REF!</definedName>
    <definedName name="hh">#REF!</definedName>
    <definedName name="izm.kods" localSheetId="4">#REF!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2" l="1"/>
  <c r="U62" i="10"/>
  <c r="W20" i="12"/>
  <c r="W19" i="12"/>
  <c r="W18" i="12"/>
  <c r="W17" i="12"/>
  <c r="W16" i="12"/>
  <c r="W15" i="12"/>
  <c r="W14" i="12"/>
  <c r="W13" i="12"/>
  <c r="W12" i="12"/>
  <c r="W11" i="12"/>
  <c r="W10" i="12"/>
  <c r="W9" i="12"/>
  <c r="W8" i="12"/>
  <c r="W7" i="12"/>
  <c r="W6" i="12"/>
  <c r="W5" i="12"/>
  <c r="W4" i="12"/>
  <c r="W3" i="12"/>
  <c r="V19" i="12"/>
  <c r="V18" i="12"/>
  <c r="V16" i="12"/>
  <c r="V15" i="12"/>
  <c r="V17" i="12" s="1"/>
  <c r="V20" i="12" s="1"/>
  <c r="V14" i="12"/>
  <c r="V13" i="12"/>
  <c r="V12" i="12"/>
  <c r="V11" i="12"/>
  <c r="V10" i="12"/>
  <c r="V9" i="12"/>
  <c r="V8" i="12"/>
  <c r="V7" i="12"/>
  <c r="V6" i="12"/>
  <c r="V5" i="12"/>
  <c r="V4" i="12"/>
  <c r="V3" i="12"/>
  <c r="F49" i="13"/>
  <c r="D49" i="13"/>
  <c r="U18" i="10"/>
  <c r="C52" i="13"/>
  <c r="F46" i="13"/>
  <c r="E46" i="13"/>
  <c r="D46" i="13"/>
  <c r="C46" i="13"/>
  <c r="F47" i="13"/>
  <c r="C36" i="13"/>
  <c r="C67" i="13"/>
  <c r="C22" i="13"/>
  <c r="C13" i="13"/>
  <c r="C20" i="13"/>
  <c r="C19" i="13"/>
  <c r="C21" i="13"/>
  <c r="C18" i="13"/>
  <c r="C17" i="13"/>
  <c r="C16" i="13"/>
  <c r="C15" i="13"/>
  <c r="C14" i="13"/>
  <c r="C82" i="13"/>
  <c r="F83" i="13"/>
  <c r="E83" i="13"/>
  <c r="D83" i="13"/>
  <c r="C83" i="13"/>
  <c r="U31" i="5"/>
  <c r="U31" i="9"/>
  <c r="U18" i="9"/>
  <c r="U49" i="9"/>
  <c r="U47" i="9"/>
  <c r="U46" i="9"/>
  <c r="U41" i="9"/>
  <c r="U37" i="9"/>
  <c r="U25" i="9"/>
  <c r="U22" i="9"/>
  <c r="U20" i="9"/>
  <c r="U78" i="11"/>
  <c r="U55" i="11"/>
  <c r="U52" i="5"/>
  <c r="U12" i="5"/>
  <c r="P87" i="2"/>
  <c r="P81" i="2"/>
  <c r="U77" i="10"/>
  <c r="U76" i="10"/>
  <c r="U75" i="10"/>
  <c r="V74" i="10"/>
  <c r="U74" i="10"/>
  <c r="W73" i="10"/>
  <c r="U73" i="10"/>
  <c r="W72" i="10"/>
  <c r="U72" i="10"/>
  <c r="U60" i="10"/>
  <c r="U63" i="10"/>
  <c r="U65" i="10"/>
  <c r="U64" i="10"/>
  <c r="U61" i="10"/>
  <c r="U19" i="10"/>
  <c r="P77" i="2" l="1"/>
  <c r="P118" i="2"/>
  <c r="P117" i="2"/>
  <c r="P38" i="2"/>
  <c r="P6" i="2"/>
  <c r="P7" i="2"/>
  <c r="P170" i="2"/>
  <c r="P132" i="2"/>
  <c r="P162" i="2"/>
  <c r="P167" i="2"/>
  <c r="P115" i="2"/>
  <c r="Q115" i="2" s="1"/>
  <c r="R115" i="2" s="1"/>
  <c r="P16" i="2"/>
  <c r="P31" i="2"/>
  <c r="U66" i="10"/>
  <c r="U54" i="10"/>
  <c r="U17" i="5"/>
  <c r="U18" i="5" s="1"/>
  <c r="T6" i="5"/>
  <c r="U9" i="5"/>
  <c r="U6" i="5" s="1"/>
  <c r="V6" i="5" s="1"/>
  <c r="U5" i="5"/>
  <c r="D29" i="5"/>
  <c r="E29" i="5"/>
  <c r="F29" i="5"/>
  <c r="I29" i="5"/>
  <c r="J29" i="5"/>
  <c r="K29" i="5"/>
  <c r="N29" i="5"/>
  <c r="O29" i="5"/>
  <c r="P29" i="5"/>
  <c r="S29" i="5"/>
  <c r="T29" i="5"/>
  <c r="U29" i="5"/>
  <c r="C29" i="5"/>
  <c r="C27" i="5"/>
  <c r="T27" i="5"/>
  <c r="R27" i="10"/>
  <c r="P19" i="10"/>
  <c r="P18" i="10"/>
  <c r="P6" i="5"/>
  <c r="P55" i="11"/>
  <c r="Q62" i="10"/>
  <c r="Q8" i="12"/>
  <c r="R8" i="12"/>
  <c r="Q12" i="12"/>
  <c r="R12" i="12"/>
  <c r="Q7" i="12"/>
  <c r="R7" i="12"/>
  <c r="Q9" i="12"/>
  <c r="R9" i="12"/>
  <c r="Q6" i="12"/>
  <c r="Q4" i="12"/>
  <c r="R4" i="12"/>
  <c r="Q3" i="12"/>
  <c r="R3" i="12"/>
  <c r="G3" i="12"/>
  <c r="H3" i="12"/>
  <c r="P12" i="11"/>
  <c r="P46" i="9"/>
  <c r="P41" i="9"/>
  <c r="P37" i="9"/>
  <c r="P22" i="9"/>
  <c r="P20" i="9"/>
  <c r="P25" i="9"/>
  <c r="P49" i="9"/>
  <c r="P47" i="9"/>
  <c r="P84" i="10"/>
  <c r="P12" i="5"/>
  <c r="O6" i="5"/>
  <c r="P18" i="5"/>
  <c r="K19" i="10"/>
  <c r="K18" i="10"/>
  <c r="K82" i="2"/>
  <c r="K5" i="2"/>
  <c r="K46" i="9"/>
  <c r="K37" i="9"/>
  <c r="K49" i="9"/>
  <c r="K47" i="9"/>
  <c r="K41" i="9"/>
  <c r="K24" i="9"/>
  <c r="K27" i="11"/>
  <c r="K37" i="11"/>
  <c r="K13" i="11"/>
  <c r="L12" i="12"/>
  <c r="M12" i="12"/>
  <c r="L9" i="12"/>
  <c r="M9" i="12"/>
  <c r="L7" i="12"/>
  <c r="M7" i="12"/>
  <c r="L8" i="12"/>
  <c r="M8" i="12"/>
  <c r="L4" i="12"/>
  <c r="M4" i="12"/>
  <c r="L3" i="12"/>
  <c r="M3" i="12"/>
  <c r="K17" i="2"/>
  <c r="K16" i="2"/>
  <c r="K170" i="2"/>
  <c r="K132" i="2"/>
  <c r="K162" i="2"/>
  <c r="K118" i="2"/>
  <c r="F60" i="2"/>
  <c r="D65" i="2"/>
  <c r="K65" i="2"/>
  <c r="K31" i="2"/>
  <c r="L25" i="2"/>
  <c r="M25" i="2" s="1"/>
  <c r="K14" i="2"/>
  <c r="L72" i="10"/>
  <c r="L7" i="10"/>
  <c r="L60" i="10"/>
  <c r="M60" i="10" s="1"/>
  <c r="L59" i="10"/>
  <c r="K66" i="10"/>
  <c r="K54" i="10"/>
  <c r="K12" i="5"/>
  <c r="K18" i="5"/>
  <c r="K9" i="5"/>
  <c r="J6" i="5"/>
  <c r="K7" i="5"/>
  <c r="K6" i="5" s="1"/>
  <c r="K18" i="9"/>
  <c r="K17" i="9"/>
  <c r="G72" i="10"/>
  <c r="G60" i="10"/>
  <c r="G59" i="10"/>
  <c r="H59" i="10"/>
  <c r="F66" i="10"/>
  <c r="F54" i="10"/>
  <c r="F104" i="2"/>
  <c r="F19" i="10"/>
  <c r="F18" i="10"/>
  <c r="F35" i="2"/>
  <c r="C98" i="13"/>
  <c r="C62" i="13"/>
  <c r="F18" i="9"/>
  <c r="F17" i="9"/>
  <c r="F37" i="11"/>
  <c r="F78" i="11"/>
  <c r="F111" i="2"/>
  <c r="F131" i="2"/>
  <c r="F77" i="2"/>
  <c r="F72" i="2"/>
  <c r="F180" i="2"/>
  <c r="F170" i="2"/>
  <c r="F132" i="2"/>
  <c r="F162" i="2"/>
  <c r="F115" i="2"/>
  <c r="F25" i="2"/>
  <c r="F31" i="2"/>
  <c r="F26" i="2"/>
  <c r="F17" i="2"/>
  <c r="F16" i="2" s="1"/>
  <c r="F14" i="2"/>
  <c r="F23" i="2"/>
  <c r="F18" i="5"/>
  <c r="H20" i="5"/>
  <c r="F16" i="5"/>
  <c r="F9" i="5"/>
  <c r="F6" i="5"/>
  <c r="F12" i="5"/>
  <c r="E6" i="5"/>
  <c r="F5" i="5"/>
  <c r="O81" i="2"/>
  <c r="J81" i="2"/>
  <c r="E81" i="2"/>
  <c r="D81" i="2"/>
  <c r="O65" i="2"/>
  <c r="L61" i="2"/>
  <c r="M61" i="2" s="1"/>
  <c r="L62" i="2"/>
  <c r="M62" i="2" s="1"/>
  <c r="L64" i="2"/>
  <c r="M64" i="2" s="1"/>
  <c r="L65" i="2"/>
  <c r="M65" i="2"/>
  <c r="O37" i="11"/>
  <c r="J37" i="11"/>
  <c r="E37" i="11"/>
  <c r="T37" i="11"/>
  <c r="D67" i="11"/>
  <c r="J13" i="11"/>
  <c r="O13" i="11"/>
  <c r="T12" i="11"/>
  <c r="E12" i="11"/>
  <c r="J12" i="11" s="1"/>
  <c r="O12" i="11" s="1"/>
  <c r="D12" i="11"/>
  <c r="T6" i="11"/>
  <c r="E6" i="11"/>
  <c r="J6" i="11"/>
  <c r="O6" i="11"/>
  <c r="T19" i="10"/>
  <c r="O19" i="10"/>
  <c r="J19" i="10"/>
  <c r="E19" i="10"/>
  <c r="D19" i="10"/>
  <c r="D18" i="10"/>
  <c r="T18" i="10"/>
  <c r="O18" i="10"/>
  <c r="J18" i="10"/>
  <c r="E18" i="10"/>
  <c r="O84" i="10"/>
  <c r="J86" i="10"/>
  <c r="J87" i="10"/>
  <c r="J84" i="10"/>
  <c r="V91" i="10"/>
  <c r="W91" i="10"/>
  <c r="V89" i="10"/>
  <c r="W89" i="10"/>
  <c r="Q89" i="10"/>
  <c r="R89" i="10"/>
  <c r="L89" i="10"/>
  <c r="M89" i="10"/>
  <c r="G89" i="10"/>
  <c r="H89" i="10"/>
  <c r="V88" i="10"/>
  <c r="W88" i="10"/>
  <c r="Q88" i="10"/>
  <c r="R88" i="10"/>
  <c r="L88" i="10"/>
  <c r="M88" i="10"/>
  <c r="G88" i="10"/>
  <c r="H88" i="10"/>
  <c r="V87" i="10"/>
  <c r="W87" i="10"/>
  <c r="Q87" i="10"/>
  <c r="R87" i="10"/>
  <c r="L87" i="10"/>
  <c r="M87" i="10"/>
  <c r="G87" i="10"/>
  <c r="H87" i="10"/>
  <c r="V86" i="10"/>
  <c r="W86" i="10"/>
  <c r="Q86" i="10"/>
  <c r="R86" i="10"/>
  <c r="L86" i="10"/>
  <c r="M86" i="10"/>
  <c r="G86" i="10"/>
  <c r="H86" i="10"/>
  <c r="V85" i="10"/>
  <c r="W85" i="10"/>
  <c r="Q85" i="10"/>
  <c r="R85" i="10"/>
  <c r="L85" i="10"/>
  <c r="M85" i="10"/>
  <c r="H85" i="10"/>
  <c r="V84" i="10"/>
  <c r="W84" i="10"/>
  <c r="Q84" i="10"/>
  <c r="R84" i="10"/>
  <c r="L84" i="10"/>
  <c r="M84" i="10"/>
  <c r="G84" i="10"/>
  <c r="H84" i="10"/>
  <c r="V82" i="10"/>
  <c r="W82" i="10"/>
  <c r="Q82" i="10"/>
  <c r="R82" i="10"/>
  <c r="L82" i="10"/>
  <c r="M82" i="10"/>
  <c r="G82" i="10"/>
  <c r="H82" i="10"/>
  <c r="V81" i="10"/>
  <c r="W81" i="10"/>
  <c r="Q81" i="10"/>
  <c r="R81" i="10"/>
  <c r="L81" i="10"/>
  <c r="M81" i="10"/>
  <c r="G81" i="10"/>
  <c r="H81" i="10"/>
  <c r="V80" i="10"/>
  <c r="W80" i="10" s="1"/>
  <c r="Q80" i="10"/>
  <c r="R80" i="10"/>
  <c r="L80" i="10"/>
  <c r="M80" i="10"/>
  <c r="G80" i="10"/>
  <c r="H80" i="10" s="1"/>
  <c r="V79" i="10"/>
  <c r="W79" i="10"/>
  <c r="Q79" i="10"/>
  <c r="R79" i="10"/>
  <c r="L79" i="10"/>
  <c r="M79" i="10"/>
  <c r="G79" i="10"/>
  <c r="H79" i="10"/>
  <c r="V77" i="10"/>
  <c r="W77" i="10" s="1"/>
  <c r="Q77" i="10"/>
  <c r="R77" i="10"/>
  <c r="L77" i="10"/>
  <c r="M77" i="10"/>
  <c r="G77" i="10"/>
  <c r="H77" i="10"/>
  <c r="V76" i="10"/>
  <c r="W76" i="10"/>
  <c r="Q76" i="10"/>
  <c r="R76" i="10"/>
  <c r="L76" i="10"/>
  <c r="M76" i="10"/>
  <c r="G76" i="10"/>
  <c r="H76" i="10"/>
  <c r="V75" i="10"/>
  <c r="W75" i="10"/>
  <c r="Q75" i="10"/>
  <c r="R75" i="10"/>
  <c r="L75" i="10"/>
  <c r="M75" i="10"/>
  <c r="G75" i="10"/>
  <c r="H75" i="10"/>
  <c r="W74" i="10"/>
  <c r="Q74" i="10"/>
  <c r="R74" i="10"/>
  <c r="L74" i="10"/>
  <c r="M74" i="10"/>
  <c r="G74" i="10"/>
  <c r="H74" i="10"/>
  <c r="V73" i="10"/>
  <c r="Q73" i="10"/>
  <c r="R73" i="10"/>
  <c r="L73" i="10"/>
  <c r="M73" i="10"/>
  <c r="G73" i="10"/>
  <c r="H73" i="10"/>
  <c r="V72" i="10"/>
  <c r="Q72" i="10"/>
  <c r="R72" i="10"/>
  <c r="M72" i="10"/>
  <c r="H72" i="10"/>
  <c r="V71" i="10"/>
  <c r="W71" i="10"/>
  <c r="Q71" i="10"/>
  <c r="R71" i="10"/>
  <c r="L71" i="10"/>
  <c r="M71" i="10"/>
  <c r="G71" i="10"/>
  <c r="H71" i="10"/>
  <c r="V70" i="10"/>
  <c r="W70" i="10"/>
  <c r="Q70" i="10"/>
  <c r="R70" i="10"/>
  <c r="L70" i="10"/>
  <c r="M70" i="10"/>
  <c r="G70" i="10"/>
  <c r="H70" i="10"/>
  <c r="V69" i="10"/>
  <c r="W69" i="10"/>
  <c r="Q69" i="10"/>
  <c r="R69" i="10"/>
  <c r="L69" i="10"/>
  <c r="M69" i="10"/>
  <c r="G69" i="10"/>
  <c r="H69" i="10"/>
  <c r="V68" i="10"/>
  <c r="W68" i="10"/>
  <c r="Q68" i="10"/>
  <c r="R68" i="10"/>
  <c r="L68" i="10"/>
  <c r="M68" i="10"/>
  <c r="G68" i="10"/>
  <c r="H68" i="10"/>
  <c r="V67" i="10"/>
  <c r="W67" i="10"/>
  <c r="Q67" i="10"/>
  <c r="R67" i="10"/>
  <c r="L67" i="10"/>
  <c r="M67" i="10"/>
  <c r="G67" i="10"/>
  <c r="H67" i="10"/>
  <c r="V66" i="10"/>
  <c r="W66" i="10"/>
  <c r="Q66" i="10"/>
  <c r="R66" i="10"/>
  <c r="L66" i="10"/>
  <c r="M66" i="10"/>
  <c r="G66" i="10"/>
  <c r="H66" i="10"/>
  <c r="V65" i="10"/>
  <c r="W65" i="10" s="1"/>
  <c r="Q65" i="10"/>
  <c r="R65" i="10"/>
  <c r="L65" i="10"/>
  <c r="M65" i="10" s="1"/>
  <c r="G65" i="10"/>
  <c r="H65" i="10"/>
  <c r="V64" i="10"/>
  <c r="W64" i="10"/>
  <c r="Q64" i="10"/>
  <c r="R64" i="10"/>
  <c r="L64" i="10"/>
  <c r="M64" i="10"/>
  <c r="G64" i="10"/>
  <c r="H64" i="10"/>
  <c r="V63" i="10"/>
  <c r="W63" i="10" s="1"/>
  <c r="Q63" i="10"/>
  <c r="R63" i="10"/>
  <c r="L63" i="10"/>
  <c r="M63" i="10"/>
  <c r="G63" i="10"/>
  <c r="H63" i="10"/>
  <c r="V62" i="10"/>
  <c r="W62" i="10"/>
  <c r="R62" i="10"/>
  <c r="L62" i="10"/>
  <c r="M62" i="10" s="1"/>
  <c r="G62" i="10"/>
  <c r="H62" i="10"/>
  <c r="V61" i="10"/>
  <c r="W61" i="10" s="1"/>
  <c r="Q61" i="10"/>
  <c r="R61" i="10"/>
  <c r="L61" i="10"/>
  <c r="M61" i="10"/>
  <c r="G61" i="10"/>
  <c r="H61" i="10"/>
  <c r="V60" i="10"/>
  <c r="W60" i="10" s="1"/>
  <c r="Q60" i="10"/>
  <c r="R60" i="10"/>
  <c r="H60" i="10"/>
  <c r="V59" i="10"/>
  <c r="W59" i="10"/>
  <c r="Q59" i="10"/>
  <c r="R59" i="10"/>
  <c r="M59" i="10"/>
  <c r="V58" i="10"/>
  <c r="W58" i="10"/>
  <c r="Q58" i="10"/>
  <c r="R58" i="10"/>
  <c r="L58" i="10"/>
  <c r="M58" i="10"/>
  <c r="G58" i="10"/>
  <c r="H58" i="10"/>
  <c r="V57" i="10"/>
  <c r="W57" i="10"/>
  <c r="Q57" i="10"/>
  <c r="R57" i="10"/>
  <c r="L57" i="10"/>
  <c r="M57" i="10"/>
  <c r="G57" i="10"/>
  <c r="H57" i="10"/>
  <c r="V56" i="10"/>
  <c r="W56" i="10"/>
  <c r="Q56" i="10"/>
  <c r="R56" i="10"/>
  <c r="L56" i="10"/>
  <c r="M56" i="10"/>
  <c r="G56" i="10"/>
  <c r="H56" i="10"/>
  <c r="V55" i="10"/>
  <c r="W55" i="10"/>
  <c r="Q55" i="10"/>
  <c r="R55" i="10"/>
  <c r="L55" i="10"/>
  <c r="M55" i="10"/>
  <c r="G55" i="10"/>
  <c r="H55" i="10"/>
  <c r="V54" i="10"/>
  <c r="W54" i="10"/>
  <c r="Q54" i="10"/>
  <c r="R54" i="10"/>
  <c r="L54" i="10"/>
  <c r="M54" i="10"/>
  <c r="G54" i="10"/>
  <c r="H54" i="10"/>
  <c r="V52" i="10"/>
  <c r="W52" i="10"/>
  <c r="Q52" i="10"/>
  <c r="R52" i="10"/>
  <c r="L52" i="10"/>
  <c r="M52" i="10"/>
  <c r="G52" i="10"/>
  <c r="H52" i="10"/>
  <c r="V51" i="10"/>
  <c r="W51" i="10"/>
  <c r="Q51" i="10"/>
  <c r="R51" i="10"/>
  <c r="L51" i="10"/>
  <c r="M51" i="10"/>
  <c r="G51" i="10"/>
  <c r="H51" i="10"/>
  <c r="V50" i="10"/>
  <c r="W50" i="10"/>
  <c r="Q50" i="10"/>
  <c r="R50" i="10"/>
  <c r="L50" i="10"/>
  <c r="M50" i="10"/>
  <c r="G50" i="10"/>
  <c r="H50" i="10"/>
  <c r="V49" i="10"/>
  <c r="W49" i="10"/>
  <c r="R49" i="10"/>
  <c r="Q49" i="10"/>
  <c r="L49" i="10"/>
  <c r="M49" i="10"/>
  <c r="G49" i="10"/>
  <c r="H49" i="10"/>
  <c r="V48" i="10"/>
  <c r="W48" i="10"/>
  <c r="Q48" i="10"/>
  <c r="R48" i="10"/>
  <c r="L48" i="10"/>
  <c r="M48" i="10"/>
  <c r="G48" i="10"/>
  <c r="H48" i="10"/>
  <c r="V46" i="10"/>
  <c r="W46" i="10"/>
  <c r="Q46" i="10"/>
  <c r="R46" i="10"/>
  <c r="L46" i="10"/>
  <c r="M46" i="10"/>
  <c r="G46" i="10"/>
  <c r="H46" i="10"/>
  <c r="V45" i="10"/>
  <c r="W45" i="10"/>
  <c r="Q45" i="10"/>
  <c r="R45" i="10"/>
  <c r="L45" i="10"/>
  <c r="M45" i="10"/>
  <c r="G45" i="10"/>
  <c r="H45" i="10"/>
  <c r="V44" i="10"/>
  <c r="W44" i="10"/>
  <c r="Q44" i="10"/>
  <c r="R44" i="10"/>
  <c r="L44" i="10"/>
  <c r="M44" i="10"/>
  <c r="H44" i="10"/>
  <c r="G44" i="10"/>
  <c r="V43" i="10"/>
  <c r="W43" i="10"/>
  <c r="Q43" i="10"/>
  <c r="R43" i="10"/>
  <c r="L43" i="10"/>
  <c r="M43" i="10"/>
  <c r="G43" i="10"/>
  <c r="H43" i="10"/>
  <c r="V42" i="10"/>
  <c r="W42" i="10"/>
  <c r="Q42" i="10"/>
  <c r="R42" i="10"/>
  <c r="L42" i="10"/>
  <c r="M42" i="10"/>
  <c r="G42" i="10"/>
  <c r="H42" i="10"/>
  <c r="V40" i="10"/>
  <c r="W40" i="10"/>
  <c r="Q40" i="10"/>
  <c r="R40" i="10"/>
  <c r="L40" i="10"/>
  <c r="M40" i="10"/>
  <c r="G40" i="10"/>
  <c r="H40" i="10"/>
  <c r="V39" i="10"/>
  <c r="W39" i="10"/>
  <c r="Q39" i="10"/>
  <c r="R39" i="10"/>
  <c r="L39" i="10"/>
  <c r="M39" i="10"/>
  <c r="G39" i="10"/>
  <c r="H39" i="10"/>
  <c r="V38" i="10"/>
  <c r="W38" i="10"/>
  <c r="Q38" i="10"/>
  <c r="R38" i="10"/>
  <c r="L38" i="10"/>
  <c r="M38" i="10"/>
  <c r="G38" i="10"/>
  <c r="H38" i="10"/>
  <c r="V37" i="10"/>
  <c r="W37" i="10"/>
  <c r="Q37" i="10"/>
  <c r="R37" i="10"/>
  <c r="L37" i="10"/>
  <c r="M37" i="10"/>
  <c r="G37" i="10"/>
  <c r="H37" i="10"/>
  <c r="V36" i="10"/>
  <c r="W36" i="10"/>
  <c r="Q36" i="10"/>
  <c r="R36" i="10"/>
  <c r="L36" i="10"/>
  <c r="M36" i="10"/>
  <c r="G36" i="10"/>
  <c r="H36" i="10"/>
  <c r="V35" i="10"/>
  <c r="W35" i="10"/>
  <c r="Q35" i="10"/>
  <c r="R35" i="10"/>
  <c r="L35" i="10"/>
  <c r="M35" i="10"/>
  <c r="G35" i="10"/>
  <c r="H35" i="10"/>
  <c r="V34" i="10"/>
  <c r="W34" i="10"/>
  <c r="Q34" i="10"/>
  <c r="R34" i="10"/>
  <c r="L34" i="10"/>
  <c r="M34" i="10"/>
  <c r="G34" i="10"/>
  <c r="H34" i="10"/>
  <c r="V33" i="10"/>
  <c r="W33" i="10"/>
  <c r="Q33" i="10"/>
  <c r="R33" i="10"/>
  <c r="L33" i="10"/>
  <c r="M33" i="10"/>
  <c r="G33" i="10"/>
  <c r="H33" i="10"/>
  <c r="V32" i="10"/>
  <c r="W32" i="10"/>
  <c r="Q32" i="10"/>
  <c r="R32" i="10"/>
  <c r="L32" i="10"/>
  <c r="M32" i="10"/>
  <c r="G32" i="10"/>
  <c r="H32" i="10"/>
  <c r="V30" i="10"/>
  <c r="W30" i="10"/>
  <c r="Q30" i="10"/>
  <c r="R30" i="10"/>
  <c r="L30" i="10"/>
  <c r="M30" i="10"/>
  <c r="G30" i="10"/>
  <c r="H30" i="10"/>
  <c r="V29" i="10"/>
  <c r="W29" i="10"/>
  <c r="Q29" i="10"/>
  <c r="R29" i="10"/>
  <c r="L29" i="10"/>
  <c r="M29" i="10"/>
  <c r="G29" i="10"/>
  <c r="H29" i="10"/>
  <c r="V28" i="10"/>
  <c r="W28" i="10"/>
  <c r="Q28" i="10"/>
  <c r="R28" i="10"/>
  <c r="L28" i="10"/>
  <c r="M28" i="10"/>
  <c r="G28" i="10"/>
  <c r="H28" i="10"/>
  <c r="V27" i="10"/>
  <c r="W27" i="10"/>
  <c r="Q27" i="10"/>
  <c r="L27" i="10"/>
  <c r="M27" i="10"/>
  <c r="G27" i="10"/>
  <c r="H27" i="10"/>
  <c r="W26" i="10"/>
  <c r="V26" i="10"/>
  <c r="Q26" i="10"/>
  <c r="R26" i="10"/>
  <c r="L26" i="10"/>
  <c r="M26" i="10"/>
  <c r="G26" i="10"/>
  <c r="H26" i="10"/>
  <c r="V25" i="10"/>
  <c r="W25" i="10" s="1"/>
  <c r="Q25" i="10"/>
  <c r="R25" i="10"/>
  <c r="L25" i="10"/>
  <c r="M25" i="10"/>
  <c r="G25" i="10"/>
  <c r="H25" i="10"/>
  <c r="V24" i="10"/>
  <c r="W24" i="10"/>
  <c r="Q24" i="10"/>
  <c r="R24" i="10"/>
  <c r="L24" i="10"/>
  <c r="M24" i="10"/>
  <c r="G24" i="10"/>
  <c r="H24" i="10"/>
  <c r="V23" i="10"/>
  <c r="W23" i="10"/>
  <c r="Q23" i="10"/>
  <c r="R23" i="10"/>
  <c r="L23" i="10"/>
  <c r="M23" i="10"/>
  <c r="G23" i="10"/>
  <c r="H23" i="10"/>
  <c r="V22" i="10"/>
  <c r="W22" i="10"/>
  <c r="Q22" i="10"/>
  <c r="R22" i="10"/>
  <c r="L22" i="10"/>
  <c r="M22" i="10"/>
  <c r="G22" i="10"/>
  <c r="H22" i="10"/>
  <c r="V21" i="10"/>
  <c r="W21" i="10"/>
  <c r="Q21" i="10"/>
  <c r="R21" i="10"/>
  <c r="L21" i="10"/>
  <c r="M21" i="10"/>
  <c r="G21" i="10"/>
  <c r="H21" i="10"/>
  <c r="V20" i="10"/>
  <c r="W20" i="10" s="1"/>
  <c r="Q20" i="10"/>
  <c r="R20" i="10"/>
  <c r="L20" i="10"/>
  <c r="M20" i="10"/>
  <c r="G20" i="10"/>
  <c r="H20" i="10"/>
  <c r="V19" i="10"/>
  <c r="W19" i="10" s="1"/>
  <c r="Q19" i="10"/>
  <c r="R19" i="10"/>
  <c r="L19" i="10"/>
  <c r="M19" i="10"/>
  <c r="G19" i="10"/>
  <c r="H19" i="10"/>
  <c r="V18" i="10"/>
  <c r="W18" i="10"/>
  <c r="Q18" i="10"/>
  <c r="R18" i="10"/>
  <c r="L18" i="10"/>
  <c r="M18" i="10"/>
  <c r="G18" i="10"/>
  <c r="H18" i="10"/>
  <c r="V17" i="10"/>
  <c r="W17" i="10"/>
  <c r="Q17" i="10"/>
  <c r="R17" i="10"/>
  <c r="L17" i="10"/>
  <c r="M17" i="10"/>
  <c r="G17" i="10"/>
  <c r="H17" i="10"/>
  <c r="V16" i="10"/>
  <c r="W16" i="10"/>
  <c r="Q16" i="10"/>
  <c r="R16" i="10"/>
  <c r="L16" i="10"/>
  <c r="M16" i="10"/>
  <c r="G16" i="10"/>
  <c r="H16" i="10"/>
  <c r="V14" i="10"/>
  <c r="W14" i="10"/>
  <c r="Q14" i="10"/>
  <c r="R14" i="10"/>
  <c r="L14" i="10"/>
  <c r="M14" i="10"/>
  <c r="G14" i="10"/>
  <c r="H14" i="10"/>
  <c r="W13" i="10"/>
  <c r="V13" i="10"/>
  <c r="Q13" i="10"/>
  <c r="R13" i="10"/>
  <c r="L13" i="10"/>
  <c r="M13" i="10"/>
  <c r="G13" i="10"/>
  <c r="H13" i="10"/>
  <c r="V12" i="10"/>
  <c r="W12" i="10" s="1"/>
  <c r="Q12" i="10"/>
  <c r="R12" i="10"/>
  <c r="L12" i="10"/>
  <c r="M12" i="10"/>
  <c r="G12" i="10"/>
  <c r="H12" i="10"/>
  <c r="V11" i="10"/>
  <c r="W11" i="10"/>
  <c r="Q11" i="10"/>
  <c r="R11" i="10"/>
  <c r="L11" i="10"/>
  <c r="M11" i="10"/>
  <c r="G11" i="10"/>
  <c r="H11" i="10"/>
  <c r="V10" i="10"/>
  <c r="W10" i="10"/>
  <c r="Q10" i="10"/>
  <c r="R10" i="10"/>
  <c r="L10" i="10"/>
  <c r="M10" i="10"/>
  <c r="G10" i="10"/>
  <c r="H10" i="10"/>
  <c r="V9" i="10"/>
  <c r="W9" i="10"/>
  <c r="Q9" i="10"/>
  <c r="R9" i="10"/>
  <c r="L9" i="10"/>
  <c r="M9" i="10"/>
  <c r="G9" i="10"/>
  <c r="H9" i="10"/>
  <c r="V8" i="10"/>
  <c r="W8" i="10"/>
  <c r="Q8" i="10"/>
  <c r="R8" i="10"/>
  <c r="L8" i="10"/>
  <c r="M8" i="10"/>
  <c r="G8" i="10"/>
  <c r="H8" i="10"/>
  <c r="V7" i="10"/>
  <c r="W7" i="10" s="1"/>
  <c r="Q7" i="10"/>
  <c r="R7" i="10"/>
  <c r="M7" i="10"/>
  <c r="G7" i="10"/>
  <c r="H7" i="10"/>
  <c r="V6" i="10"/>
  <c r="W6" i="10" s="1"/>
  <c r="Q6" i="10"/>
  <c r="R6" i="10"/>
  <c r="L6" i="10"/>
  <c r="M6" i="10"/>
  <c r="G6" i="10"/>
  <c r="H6" i="10"/>
  <c r="V5" i="10"/>
  <c r="W5" i="10"/>
  <c r="Q5" i="10"/>
  <c r="R5" i="10"/>
  <c r="L5" i="10"/>
  <c r="M5" i="10"/>
  <c r="G5" i="10"/>
  <c r="H5" i="10"/>
  <c r="D17" i="9"/>
  <c r="D18" i="5"/>
  <c r="D6" i="5"/>
  <c r="D27" i="5"/>
  <c r="F27" i="5"/>
  <c r="F34" i="5"/>
  <c r="I27" i="5"/>
  <c r="I34" i="5"/>
  <c r="J27" i="5"/>
  <c r="K27" i="5"/>
  <c r="K34" i="5"/>
  <c r="N27" i="5"/>
  <c r="N34" i="5"/>
  <c r="O27" i="5"/>
  <c r="O34" i="5"/>
  <c r="P27" i="5"/>
  <c r="E27" i="5"/>
  <c r="S27" i="5"/>
  <c r="S34" i="5"/>
  <c r="J16" i="9"/>
  <c r="K16" i="9"/>
  <c r="F16" i="9"/>
  <c r="E16" i="9"/>
  <c r="C53" i="9"/>
  <c r="U27" i="5"/>
  <c r="T18" i="5"/>
  <c r="T16" i="5" s="1"/>
  <c r="U40" i="5"/>
  <c r="U36" i="5"/>
  <c r="U44" i="5"/>
  <c r="U21" i="5"/>
  <c r="U34" i="5" s="1"/>
  <c r="U16" i="5"/>
  <c r="O18" i="5"/>
  <c r="O16" i="5"/>
  <c r="O5" i="5"/>
  <c r="O19" i="5" s="1"/>
  <c r="O47" i="5" s="1"/>
  <c r="P5" i="5"/>
  <c r="J17" i="5"/>
  <c r="J5" i="5"/>
  <c r="K16" i="5"/>
  <c r="K5" i="5"/>
  <c r="F19" i="5"/>
  <c r="F47" i="5"/>
  <c r="E18" i="5"/>
  <c r="E16" i="5" s="1"/>
  <c r="C14" i="5"/>
  <c r="C12" i="5"/>
  <c r="C9" i="5"/>
  <c r="C7" i="5"/>
  <c r="C6" i="5"/>
  <c r="U19" i="5"/>
  <c r="U47" i="5"/>
  <c r="K19" i="5"/>
  <c r="K47" i="5"/>
  <c r="P164" i="2"/>
  <c r="P154" i="2"/>
  <c r="Q154" i="2" s="1"/>
  <c r="R154" i="2" s="1"/>
  <c r="P146" i="2"/>
  <c r="Q146" i="2" s="1"/>
  <c r="R146" i="2" s="1"/>
  <c r="P140" i="2"/>
  <c r="P130" i="2"/>
  <c r="Q130" i="2" s="1"/>
  <c r="R130" i="2" s="1"/>
  <c r="P129" i="2"/>
  <c r="Q129" i="2" s="1"/>
  <c r="R129" i="2" s="1"/>
  <c r="P119" i="2"/>
  <c r="Q119" i="2" s="1"/>
  <c r="R119" i="2" s="1"/>
  <c r="P114" i="2"/>
  <c r="Q114" i="2" s="1"/>
  <c r="R114" i="2" s="1"/>
  <c r="P109" i="2"/>
  <c r="Q109" i="2" s="1"/>
  <c r="R109" i="2" s="1"/>
  <c r="P104" i="2"/>
  <c r="P96" i="2"/>
  <c r="P90" i="2"/>
  <c r="P82" i="2"/>
  <c r="P74" i="2"/>
  <c r="P68" i="2"/>
  <c r="P63" i="2"/>
  <c r="P60" i="2"/>
  <c r="P52" i="2"/>
  <c r="Q52" i="2" s="1"/>
  <c r="R52" i="2" s="1"/>
  <c r="P50" i="2"/>
  <c r="Q50" i="2" s="1"/>
  <c r="R50" i="2" s="1"/>
  <c r="P39" i="2"/>
  <c r="Q39" i="2" s="1"/>
  <c r="R39" i="2" s="1"/>
  <c r="P35" i="2"/>
  <c r="Q35" i="2" s="1"/>
  <c r="R35" i="2" s="1"/>
  <c r="P22" i="2"/>
  <c r="P19" i="2"/>
  <c r="P13" i="2"/>
  <c r="P10" i="2"/>
  <c r="P5" i="2"/>
  <c r="K164" i="2"/>
  <c r="K154" i="2"/>
  <c r="K146" i="2"/>
  <c r="K140" i="2"/>
  <c r="K130" i="2"/>
  <c r="K129" i="2"/>
  <c r="K119" i="2"/>
  <c r="K114" i="2"/>
  <c r="K109" i="2"/>
  <c r="K104" i="2"/>
  <c r="K96" i="2"/>
  <c r="K90" i="2"/>
  <c r="K74" i="2"/>
  <c r="K68" i="2"/>
  <c r="K63" i="2"/>
  <c r="L63" i="2"/>
  <c r="M63" i="2"/>
  <c r="K60" i="2"/>
  <c r="K52" i="2"/>
  <c r="K50" i="2"/>
  <c r="K39" i="2"/>
  <c r="K35" i="2"/>
  <c r="K22" i="2"/>
  <c r="K19" i="2"/>
  <c r="K13" i="2"/>
  <c r="K10" i="2"/>
  <c r="C170" i="2"/>
  <c r="C164" i="2"/>
  <c r="C162" i="2"/>
  <c r="C154" i="2"/>
  <c r="C146" i="2"/>
  <c r="C140" i="2"/>
  <c r="C137" i="2"/>
  <c r="C132" i="2"/>
  <c r="C130" i="2"/>
  <c r="C129" i="2"/>
  <c r="C119" i="2"/>
  <c r="C116" i="2"/>
  <c r="C115" i="2"/>
  <c r="C114" i="2"/>
  <c r="C109" i="2"/>
  <c r="C104" i="2"/>
  <c r="C103" i="2" s="1"/>
  <c r="C96" i="2"/>
  <c r="C90" i="2"/>
  <c r="C87" i="2"/>
  <c r="C82" i="2"/>
  <c r="C81" i="2"/>
  <c r="C74" i="2"/>
  <c r="C68" i="2"/>
  <c r="C66" i="2"/>
  <c r="C63" i="2"/>
  <c r="C60" i="2"/>
  <c r="C59" i="2" s="1"/>
  <c r="C52" i="2"/>
  <c r="C50" i="2"/>
  <c r="C39" i="2"/>
  <c r="C38" i="2"/>
  <c r="C35" i="2"/>
  <c r="C34" i="2"/>
  <c r="C33" i="2"/>
  <c r="C31" i="2"/>
  <c r="C23" i="2"/>
  <c r="C22" i="2"/>
  <c r="C19" i="2"/>
  <c r="C16" i="2"/>
  <c r="C14" i="2"/>
  <c r="C13" i="2"/>
  <c r="C10" i="2"/>
  <c r="C5" i="2"/>
  <c r="C4" i="2" s="1"/>
  <c r="K103" i="2"/>
  <c r="K66" i="2"/>
  <c r="K59" i="2"/>
  <c r="L60" i="2"/>
  <c r="M60" i="2" s="1"/>
  <c r="K34" i="2"/>
  <c r="K33" i="2"/>
  <c r="C3" i="2"/>
  <c r="C163" i="2"/>
  <c r="C58" i="2"/>
  <c r="C32" i="2"/>
  <c r="C144" i="2"/>
  <c r="C172" i="2"/>
  <c r="K58" i="2"/>
  <c r="K32" i="2"/>
  <c r="K144" i="2" s="1"/>
  <c r="L144" i="2" s="1"/>
  <c r="L59" i="2"/>
  <c r="M59" i="2"/>
  <c r="C145" i="2"/>
  <c r="C153" i="2"/>
  <c r="C173" i="2"/>
  <c r="C103" i="13"/>
  <c r="C77" i="13"/>
  <c r="C55" i="13"/>
  <c r="C23" i="13"/>
  <c r="V52" i="9"/>
  <c r="W52" i="9"/>
  <c r="Q52" i="9"/>
  <c r="R52" i="9"/>
  <c r="L52" i="9"/>
  <c r="M52" i="9"/>
  <c r="G52" i="9"/>
  <c r="H52" i="9"/>
  <c r="V51" i="9"/>
  <c r="W51" i="9"/>
  <c r="Q51" i="9"/>
  <c r="R51" i="9"/>
  <c r="L51" i="9"/>
  <c r="M51" i="9"/>
  <c r="G51" i="9"/>
  <c r="H51" i="9"/>
  <c r="Q47" i="9"/>
  <c r="R47" i="9"/>
  <c r="L47" i="9"/>
  <c r="M47" i="9"/>
  <c r="G47" i="9"/>
  <c r="H47" i="9"/>
  <c r="V41" i="9"/>
  <c r="W41" i="9"/>
  <c r="Q41" i="9"/>
  <c r="R41" i="9"/>
  <c r="G41" i="9"/>
  <c r="H41" i="9"/>
  <c r="V40" i="9"/>
  <c r="W40" i="9"/>
  <c r="Q40" i="9"/>
  <c r="R40" i="9"/>
  <c r="L40" i="9"/>
  <c r="M40" i="9"/>
  <c r="G40" i="9"/>
  <c r="H40" i="9"/>
  <c r="V37" i="9"/>
  <c r="W37" i="9"/>
  <c r="Q37" i="9"/>
  <c r="R37" i="9"/>
  <c r="L37" i="9"/>
  <c r="M37" i="9"/>
  <c r="G37" i="9"/>
  <c r="H37" i="9"/>
  <c r="D16" i="9"/>
  <c r="V15" i="9"/>
  <c r="W15" i="9"/>
  <c r="Q15" i="9"/>
  <c r="R15" i="9"/>
  <c r="L15" i="9"/>
  <c r="M15" i="9"/>
  <c r="G15" i="9"/>
  <c r="H15" i="9"/>
  <c r="V14" i="9"/>
  <c r="W14" i="9"/>
  <c r="Q14" i="9"/>
  <c r="R14" i="9"/>
  <c r="L14" i="9"/>
  <c r="M14" i="9"/>
  <c r="G14" i="9"/>
  <c r="H14" i="9"/>
  <c r="V13" i="9"/>
  <c r="W13" i="9"/>
  <c r="Q13" i="9"/>
  <c r="R13" i="9"/>
  <c r="L13" i="9"/>
  <c r="M13" i="9"/>
  <c r="G13" i="9"/>
  <c r="H13" i="9"/>
  <c r="V12" i="9"/>
  <c r="W12" i="9"/>
  <c r="Q12" i="9"/>
  <c r="R12" i="9"/>
  <c r="L12" i="9"/>
  <c r="M12" i="9"/>
  <c r="G12" i="9"/>
  <c r="H12" i="9"/>
  <c r="V11" i="9"/>
  <c r="W11" i="9"/>
  <c r="Q11" i="9"/>
  <c r="R11" i="9"/>
  <c r="L11" i="9"/>
  <c r="M11" i="9"/>
  <c r="G11" i="9"/>
  <c r="H11" i="9"/>
  <c r="V10" i="9"/>
  <c r="W10" i="9"/>
  <c r="Q10" i="9"/>
  <c r="R10" i="9"/>
  <c r="K10" i="9"/>
  <c r="L10" i="9"/>
  <c r="M10" i="9"/>
  <c r="G10" i="9"/>
  <c r="H10" i="9"/>
  <c r="V9" i="9"/>
  <c r="W9" i="9"/>
  <c r="Q9" i="9"/>
  <c r="R9" i="9"/>
  <c r="K9" i="9"/>
  <c r="L9" i="9" s="1"/>
  <c r="M9" i="9" s="1"/>
  <c r="G9" i="9"/>
  <c r="H9" i="9"/>
  <c r="U8" i="9"/>
  <c r="T8" i="9"/>
  <c r="P8" i="9"/>
  <c r="O8" i="9"/>
  <c r="J8" i="9"/>
  <c r="F8" i="9"/>
  <c r="E8" i="9"/>
  <c r="D8" i="9"/>
  <c r="V7" i="9"/>
  <c r="W7" i="9"/>
  <c r="Q7" i="9"/>
  <c r="R7" i="9"/>
  <c r="L7" i="9"/>
  <c r="M7" i="9"/>
  <c r="G7" i="9"/>
  <c r="H7" i="9"/>
  <c r="V6" i="9"/>
  <c r="W6" i="9"/>
  <c r="Q6" i="9"/>
  <c r="R6" i="9"/>
  <c r="L6" i="9"/>
  <c r="M6" i="9"/>
  <c r="G6" i="9"/>
  <c r="H6" i="9"/>
  <c r="V5" i="9"/>
  <c r="W5" i="9"/>
  <c r="Q5" i="9"/>
  <c r="R5" i="9"/>
  <c r="L5" i="9"/>
  <c r="M5" i="9"/>
  <c r="G5" i="9"/>
  <c r="H5" i="9"/>
  <c r="V4" i="9"/>
  <c r="W4" i="9"/>
  <c r="Q4" i="9"/>
  <c r="R4" i="9"/>
  <c r="L4" i="9"/>
  <c r="M4" i="9"/>
  <c r="G4" i="9"/>
  <c r="H4" i="9"/>
  <c r="U3" i="9"/>
  <c r="T3" i="9"/>
  <c r="P3" i="9"/>
  <c r="O3" i="9"/>
  <c r="K3" i="9"/>
  <c r="J3" i="9"/>
  <c r="F3" i="9"/>
  <c r="E3" i="9"/>
  <c r="D3" i="9"/>
  <c r="V54" i="5"/>
  <c r="W54" i="5"/>
  <c r="Q54" i="5"/>
  <c r="R54" i="5"/>
  <c r="L54" i="5"/>
  <c r="M54" i="5"/>
  <c r="G54" i="5"/>
  <c r="H54" i="5"/>
  <c r="V53" i="5"/>
  <c r="W53" i="5"/>
  <c r="Q53" i="5"/>
  <c r="R53" i="5"/>
  <c r="L53" i="5"/>
  <c r="M53" i="5"/>
  <c r="G53" i="5"/>
  <c r="H53" i="5"/>
  <c r="V52" i="5"/>
  <c r="W52" i="5"/>
  <c r="Q52" i="5"/>
  <c r="R52" i="5"/>
  <c r="L52" i="5"/>
  <c r="M52" i="5"/>
  <c r="G52" i="5"/>
  <c r="H52" i="5"/>
  <c r="V51" i="5"/>
  <c r="W51" i="5"/>
  <c r="Q51" i="5"/>
  <c r="R51" i="5"/>
  <c r="L51" i="5"/>
  <c r="M51" i="5"/>
  <c r="G51" i="5"/>
  <c r="H51" i="5"/>
  <c r="V50" i="5"/>
  <c r="W50" i="5"/>
  <c r="Q50" i="5"/>
  <c r="R50" i="5"/>
  <c r="L50" i="5"/>
  <c r="M50" i="5"/>
  <c r="G50" i="5"/>
  <c r="H50" i="5"/>
  <c r="V49" i="5"/>
  <c r="W49" i="5"/>
  <c r="Q49" i="5"/>
  <c r="R49" i="5"/>
  <c r="L49" i="5"/>
  <c r="M49" i="5"/>
  <c r="G49" i="5"/>
  <c r="H49" i="5"/>
  <c r="V48" i="5"/>
  <c r="W48" i="5"/>
  <c r="Q48" i="5"/>
  <c r="R48" i="5"/>
  <c r="L48" i="5"/>
  <c r="M48" i="5"/>
  <c r="G48" i="5"/>
  <c r="H48" i="5" s="1"/>
  <c r="V46" i="5"/>
  <c r="W46" i="5"/>
  <c r="Q46" i="5"/>
  <c r="R46" i="5"/>
  <c r="L46" i="5"/>
  <c r="M46" i="5"/>
  <c r="G46" i="5"/>
  <c r="H46" i="5"/>
  <c r="V45" i="5"/>
  <c r="W45" i="5"/>
  <c r="Q45" i="5"/>
  <c r="R45" i="5"/>
  <c r="L45" i="5"/>
  <c r="M45" i="5"/>
  <c r="G45" i="5"/>
  <c r="H45" i="5"/>
  <c r="V43" i="5"/>
  <c r="W43" i="5"/>
  <c r="Q43" i="5"/>
  <c r="R43" i="5"/>
  <c r="L43" i="5"/>
  <c r="M43" i="5"/>
  <c r="G43" i="5"/>
  <c r="H43" i="5"/>
  <c r="V42" i="5"/>
  <c r="W42" i="5"/>
  <c r="Q42" i="5"/>
  <c r="R42" i="5"/>
  <c r="L42" i="5"/>
  <c r="M42" i="5" s="1"/>
  <c r="G42" i="5"/>
  <c r="H42" i="5"/>
  <c r="V41" i="5"/>
  <c r="W41" i="5"/>
  <c r="Q41" i="5"/>
  <c r="R41" i="5"/>
  <c r="L41" i="5"/>
  <c r="M41" i="5"/>
  <c r="G41" i="5"/>
  <c r="H41" i="5"/>
  <c r="T40" i="5"/>
  <c r="V40" i="5" s="1"/>
  <c r="W40" i="5" s="1"/>
  <c r="P40" i="5"/>
  <c r="Q40" i="5"/>
  <c r="R40" i="5"/>
  <c r="J40" i="5"/>
  <c r="L40" i="5"/>
  <c r="M40" i="5"/>
  <c r="E40" i="5"/>
  <c r="G40" i="5"/>
  <c r="H40" i="5"/>
  <c r="D40" i="5"/>
  <c r="C40" i="5"/>
  <c r="V39" i="5"/>
  <c r="W39" i="5"/>
  <c r="Q39" i="5"/>
  <c r="R39" i="5"/>
  <c r="L39" i="5"/>
  <c r="M39" i="5"/>
  <c r="G39" i="5"/>
  <c r="H39" i="5"/>
  <c r="V38" i="5"/>
  <c r="W38" i="5"/>
  <c r="Q38" i="5"/>
  <c r="R38" i="5"/>
  <c r="L38" i="5"/>
  <c r="M38" i="5"/>
  <c r="G38" i="5"/>
  <c r="H38" i="5"/>
  <c r="V37" i="5"/>
  <c r="W37" i="5"/>
  <c r="Q37" i="5"/>
  <c r="R37" i="5"/>
  <c r="L37" i="5"/>
  <c r="M37" i="5"/>
  <c r="G37" i="5"/>
  <c r="H37" i="5"/>
  <c r="T36" i="5"/>
  <c r="T44" i="5"/>
  <c r="P36" i="5"/>
  <c r="P44" i="5" s="1"/>
  <c r="Q44" i="5" s="1"/>
  <c r="R44" i="5" s="1"/>
  <c r="Q36" i="5"/>
  <c r="R36" i="5"/>
  <c r="J36" i="5"/>
  <c r="L36" i="5"/>
  <c r="M36" i="5"/>
  <c r="E36" i="5"/>
  <c r="E44" i="5"/>
  <c r="G44" i="5"/>
  <c r="H44" i="5"/>
  <c r="D36" i="5"/>
  <c r="D44" i="5"/>
  <c r="C36" i="5"/>
  <c r="C44" i="5"/>
  <c r="W35" i="5"/>
  <c r="R35" i="5"/>
  <c r="M35" i="5"/>
  <c r="H35" i="5"/>
  <c r="V33" i="5"/>
  <c r="W33" i="5"/>
  <c r="Q33" i="5"/>
  <c r="R33" i="5"/>
  <c r="L33" i="5"/>
  <c r="M33" i="5"/>
  <c r="G33" i="5"/>
  <c r="H33" i="5" s="1"/>
  <c r="V32" i="5"/>
  <c r="W32" i="5"/>
  <c r="Q32" i="5"/>
  <c r="R32" i="5"/>
  <c r="L32" i="5"/>
  <c r="M32" i="5"/>
  <c r="G32" i="5"/>
  <c r="H32" i="5" s="1"/>
  <c r="V31" i="5"/>
  <c r="W31" i="5"/>
  <c r="Q31" i="5"/>
  <c r="L31" i="5"/>
  <c r="G31" i="5"/>
  <c r="V30" i="5"/>
  <c r="W30" i="5"/>
  <c r="Q30" i="5"/>
  <c r="R30" i="5" s="1"/>
  <c r="L30" i="5"/>
  <c r="M30" i="5" s="1"/>
  <c r="G30" i="5"/>
  <c r="H30" i="5" s="1"/>
  <c r="V28" i="5"/>
  <c r="W28" i="5"/>
  <c r="Q28" i="5"/>
  <c r="R28" i="5"/>
  <c r="L28" i="5"/>
  <c r="M28" i="5"/>
  <c r="G28" i="5"/>
  <c r="V26" i="5"/>
  <c r="W26" i="5"/>
  <c r="Q26" i="5"/>
  <c r="R26" i="5"/>
  <c r="L26" i="5"/>
  <c r="M26" i="5"/>
  <c r="G26" i="5"/>
  <c r="H26" i="5" s="1"/>
  <c r="V25" i="5"/>
  <c r="W25" i="5"/>
  <c r="Q25" i="5"/>
  <c r="R25" i="5"/>
  <c r="L25" i="5"/>
  <c r="M25" i="5"/>
  <c r="G25" i="5"/>
  <c r="H25" i="5" s="1"/>
  <c r="V24" i="5"/>
  <c r="W24" i="5"/>
  <c r="Q24" i="5"/>
  <c r="R24" i="5"/>
  <c r="L24" i="5"/>
  <c r="M24" i="5"/>
  <c r="G24" i="5"/>
  <c r="H24" i="5" s="1"/>
  <c r="V23" i="5"/>
  <c r="W23" i="5"/>
  <c r="Q23" i="5"/>
  <c r="R23" i="5"/>
  <c r="L23" i="5"/>
  <c r="M23" i="5"/>
  <c r="G23" i="5"/>
  <c r="H23" i="5" s="1"/>
  <c r="V22" i="5"/>
  <c r="W22" i="5"/>
  <c r="Q22" i="5"/>
  <c r="R22" i="5"/>
  <c r="L22" i="5"/>
  <c r="M22" i="5"/>
  <c r="G22" i="5"/>
  <c r="H22" i="5" s="1"/>
  <c r="T21" i="5"/>
  <c r="P21" i="5"/>
  <c r="P34" i="5" s="1"/>
  <c r="Q21" i="5"/>
  <c r="R21" i="5"/>
  <c r="J21" i="5"/>
  <c r="J34" i="5" s="1"/>
  <c r="L21" i="5"/>
  <c r="M21" i="5"/>
  <c r="E21" i="5"/>
  <c r="E34" i="5" s="1"/>
  <c r="G21" i="5"/>
  <c r="H21" i="5" s="1"/>
  <c r="D21" i="5"/>
  <c r="D34" i="5" s="1"/>
  <c r="C21" i="5"/>
  <c r="C34" i="5" s="1"/>
  <c r="W20" i="5"/>
  <c r="R20" i="5"/>
  <c r="M20" i="5"/>
  <c r="V18" i="5"/>
  <c r="W18" i="5"/>
  <c r="Q18" i="5"/>
  <c r="R18" i="5"/>
  <c r="G18" i="5"/>
  <c r="H18" i="5"/>
  <c r="V16" i="5"/>
  <c r="W16" i="5"/>
  <c r="Q17" i="5"/>
  <c r="R17" i="5"/>
  <c r="L17" i="5"/>
  <c r="M17" i="5"/>
  <c r="G17" i="5"/>
  <c r="H17" i="5"/>
  <c r="P16" i="5"/>
  <c r="G16" i="5"/>
  <c r="H16" i="5"/>
  <c r="D16" i="5"/>
  <c r="V15" i="5"/>
  <c r="W15" i="5"/>
  <c r="Q15" i="5"/>
  <c r="R15" i="5"/>
  <c r="L15" i="5"/>
  <c r="M15" i="5"/>
  <c r="G15" i="5"/>
  <c r="H15" i="5"/>
  <c r="V14" i="5"/>
  <c r="W14" i="5"/>
  <c r="Q14" i="5"/>
  <c r="R14" i="5"/>
  <c r="L14" i="5"/>
  <c r="M14" i="5"/>
  <c r="G14" i="5"/>
  <c r="H14" i="5"/>
  <c r="V13" i="5"/>
  <c r="W13" i="5"/>
  <c r="Q13" i="5"/>
  <c r="R13" i="5"/>
  <c r="L13" i="5"/>
  <c r="M13" i="5"/>
  <c r="G13" i="5"/>
  <c r="H13" i="5"/>
  <c r="V12" i="5"/>
  <c r="W12" i="5"/>
  <c r="Q12" i="5"/>
  <c r="R12" i="5"/>
  <c r="L12" i="5"/>
  <c r="M12" i="5"/>
  <c r="G12" i="5"/>
  <c r="H12" i="5"/>
  <c r="V11" i="5"/>
  <c r="W11" i="5"/>
  <c r="Q11" i="5"/>
  <c r="R11" i="5"/>
  <c r="L11" i="5"/>
  <c r="M11" i="5"/>
  <c r="G11" i="5"/>
  <c r="H11" i="5"/>
  <c r="V10" i="5"/>
  <c r="W10" i="5"/>
  <c r="Q10" i="5"/>
  <c r="R10" i="5"/>
  <c r="L10" i="5"/>
  <c r="M10" i="5"/>
  <c r="G10" i="5"/>
  <c r="H10" i="5"/>
  <c r="V9" i="5"/>
  <c r="W9" i="5"/>
  <c r="G9" i="5"/>
  <c r="H9" i="5"/>
  <c r="V8" i="5"/>
  <c r="W8" i="5"/>
  <c r="Q8" i="5"/>
  <c r="R8" i="5"/>
  <c r="L8" i="5"/>
  <c r="M8" i="5"/>
  <c r="G8" i="5"/>
  <c r="H8" i="5"/>
  <c r="V7" i="5"/>
  <c r="W7" i="5"/>
  <c r="Q7" i="5"/>
  <c r="R7" i="5"/>
  <c r="L7" i="5"/>
  <c r="M7" i="5"/>
  <c r="G7" i="5"/>
  <c r="H7" i="5"/>
  <c r="T5" i="5"/>
  <c r="T19" i="5" s="1"/>
  <c r="G6" i="5"/>
  <c r="H6" i="5"/>
  <c r="D5" i="5"/>
  <c r="D19" i="5" s="1"/>
  <c r="E5" i="5"/>
  <c r="V3" i="5"/>
  <c r="W3" i="5"/>
  <c r="Q3" i="5"/>
  <c r="R3" i="5"/>
  <c r="L3" i="5"/>
  <c r="M3" i="5"/>
  <c r="G3" i="5"/>
  <c r="H3" i="5"/>
  <c r="V79" i="11"/>
  <c r="W79" i="11"/>
  <c r="Q79" i="11"/>
  <c r="R79" i="11"/>
  <c r="L79" i="11"/>
  <c r="M79" i="11"/>
  <c r="G79" i="11"/>
  <c r="H79" i="11"/>
  <c r="V78" i="11"/>
  <c r="W78" i="11"/>
  <c r="Q78" i="11"/>
  <c r="R78" i="11"/>
  <c r="L78" i="11"/>
  <c r="M78" i="11"/>
  <c r="G78" i="11"/>
  <c r="H78" i="11"/>
  <c r="V77" i="11"/>
  <c r="W77" i="11"/>
  <c r="Q77" i="11"/>
  <c r="R77" i="11"/>
  <c r="L77" i="11"/>
  <c r="M77" i="11"/>
  <c r="G77" i="11"/>
  <c r="H77" i="11"/>
  <c r="V76" i="11"/>
  <c r="W76" i="11"/>
  <c r="Q76" i="11"/>
  <c r="R76" i="11"/>
  <c r="L76" i="11"/>
  <c r="M76" i="11"/>
  <c r="G76" i="11"/>
  <c r="H76" i="11"/>
  <c r="V75" i="11"/>
  <c r="W75" i="11"/>
  <c r="Q75" i="11"/>
  <c r="R75" i="11"/>
  <c r="L75" i="11"/>
  <c r="M75" i="11"/>
  <c r="G75" i="11"/>
  <c r="H75" i="11"/>
  <c r="V74" i="11"/>
  <c r="W74" i="11"/>
  <c r="Q74" i="11"/>
  <c r="R74" i="11"/>
  <c r="L74" i="11"/>
  <c r="M74" i="11"/>
  <c r="J70" i="11"/>
  <c r="E70" i="11"/>
  <c r="E84" i="11"/>
  <c r="V73" i="11"/>
  <c r="W73" i="11"/>
  <c r="Q73" i="11"/>
  <c r="R73" i="11"/>
  <c r="L73" i="11"/>
  <c r="M73" i="11"/>
  <c r="G73" i="11"/>
  <c r="H73" i="11"/>
  <c r="V72" i="11"/>
  <c r="W72" i="11"/>
  <c r="Q72" i="11"/>
  <c r="R72" i="11"/>
  <c r="L72" i="11"/>
  <c r="M72" i="11"/>
  <c r="G72" i="11"/>
  <c r="H72" i="11"/>
  <c r="V71" i="11"/>
  <c r="W71" i="11"/>
  <c r="Q71" i="11"/>
  <c r="R71" i="11"/>
  <c r="L71" i="11"/>
  <c r="M71" i="11"/>
  <c r="G71" i="11"/>
  <c r="H71" i="11"/>
  <c r="T70" i="11"/>
  <c r="T84" i="11"/>
  <c r="P70" i="11"/>
  <c r="P84" i="11"/>
  <c r="O70" i="11"/>
  <c r="O84" i="11"/>
  <c r="F70" i="11"/>
  <c r="F84" i="11"/>
  <c r="D70" i="11"/>
  <c r="D84" i="11"/>
  <c r="C70" i="11"/>
  <c r="C84" i="11"/>
  <c r="V69" i="11"/>
  <c r="W69" i="11"/>
  <c r="Q69" i="11"/>
  <c r="R69" i="11"/>
  <c r="L69" i="11"/>
  <c r="M69" i="11"/>
  <c r="G69" i="11"/>
  <c r="H69" i="11"/>
  <c r="V68" i="11"/>
  <c r="W68" i="11"/>
  <c r="Q68" i="11"/>
  <c r="R68" i="11"/>
  <c r="L68" i="11"/>
  <c r="M68" i="11"/>
  <c r="G68" i="11"/>
  <c r="H68" i="11"/>
  <c r="V67" i="11"/>
  <c r="W67" i="11"/>
  <c r="Q67" i="11"/>
  <c r="R67" i="11"/>
  <c r="L67" i="11"/>
  <c r="M67" i="11"/>
  <c r="G67" i="11"/>
  <c r="H67" i="11"/>
  <c r="V66" i="11"/>
  <c r="W66" i="11"/>
  <c r="Q66" i="11"/>
  <c r="R66" i="11"/>
  <c r="L66" i="11"/>
  <c r="M66" i="11"/>
  <c r="G66" i="11"/>
  <c r="H66" i="11"/>
  <c r="V65" i="11"/>
  <c r="W65" i="11"/>
  <c r="Q65" i="11"/>
  <c r="R65" i="11"/>
  <c r="L65" i="11"/>
  <c r="M65" i="11"/>
  <c r="G65" i="11"/>
  <c r="H65" i="11"/>
  <c r="V64" i="11"/>
  <c r="W64" i="11"/>
  <c r="Q64" i="11"/>
  <c r="R64" i="11"/>
  <c r="L64" i="11"/>
  <c r="M64" i="11"/>
  <c r="G64" i="11"/>
  <c r="H64" i="11"/>
  <c r="V63" i="11"/>
  <c r="W63" i="11"/>
  <c r="Q63" i="11"/>
  <c r="R63" i="11"/>
  <c r="L63" i="11"/>
  <c r="M63" i="11"/>
  <c r="G63" i="11"/>
  <c r="H63" i="11"/>
  <c r="V62" i="11"/>
  <c r="W62" i="11"/>
  <c r="Q62" i="11"/>
  <c r="R62" i="11"/>
  <c r="L62" i="11"/>
  <c r="M62" i="11"/>
  <c r="G62" i="11"/>
  <c r="H62" i="11"/>
  <c r="V61" i="11"/>
  <c r="W61" i="11"/>
  <c r="Q61" i="11"/>
  <c r="R61" i="11"/>
  <c r="L61" i="11"/>
  <c r="M61" i="11"/>
  <c r="G61" i="11"/>
  <c r="H61" i="11"/>
  <c r="U60" i="11"/>
  <c r="V60" i="11" s="1"/>
  <c r="T60" i="11"/>
  <c r="P60" i="11"/>
  <c r="O60" i="11"/>
  <c r="O83" i="11"/>
  <c r="K60" i="11"/>
  <c r="J60" i="11"/>
  <c r="J83" i="11"/>
  <c r="F60" i="11"/>
  <c r="E60" i="11"/>
  <c r="D60" i="11"/>
  <c r="C60" i="11"/>
  <c r="W58" i="11"/>
  <c r="R58" i="11"/>
  <c r="M58" i="11"/>
  <c r="G58" i="11"/>
  <c r="H58" i="11"/>
  <c r="V57" i="11"/>
  <c r="W57" i="11"/>
  <c r="Q57" i="11"/>
  <c r="R57" i="11"/>
  <c r="L57" i="11"/>
  <c r="M57" i="11"/>
  <c r="G57" i="11"/>
  <c r="H57" i="11"/>
  <c r="V56" i="11"/>
  <c r="W56" i="11"/>
  <c r="Q56" i="11"/>
  <c r="R56" i="11"/>
  <c r="L56" i="11"/>
  <c r="M56" i="11"/>
  <c r="G56" i="11"/>
  <c r="H56" i="11"/>
  <c r="T55" i="11"/>
  <c r="V55" i="11"/>
  <c r="W55" i="11"/>
  <c r="O55" i="11"/>
  <c r="Q55" i="11"/>
  <c r="R55" i="11"/>
  <c r="K55" i="11"/>
  <c r="K49" i="11"/>
  <c r="J55" i="11"/>
  <c r="F55" i="11"/>
  <c r="E55" i="11"/>
  <c r="D55" i="11"/>
  <c r="C55" i="11"/>
  <c r="V54" i="11"/>
  <c r="W54" i="11"/>
  <c r="Q54" i="11"/>
  <c r="R54" i="11"/>
  <c r="L54" i="11"/>
  <c r="M54" i="11"/>
  <c r="G54" i="11"/>
  <c r="H54" i="11"/>
  <c r="V53" i="11"/>
  <c r="W53" i="11"/>
  <c r="Q53" i="11"/>
  <c r="R53" i="11"/>
  <c r="L53" i="11"/>
  <c r="M53" i="11"/>
  <c r="G53" i="11"/>
  <c r="H53" i="11"/>
  <c r="U52" i="11"/>
  <c r="U49" i="11"/>
  <c r="T52" i="11"/>
  <c r="P52" i="11"/>
  <c r="O52" i="11"/>
  <c r="K52" i="11"/>
  <c r="J52" i="11"/>
  <c r="J49" i="11"/>
  <c r="F52" i="11"/>
  <c r="E52" i="11"/>
  <c r="E49" i="11"/>
  <c r="D52" i="11"/>
  <c r="C52" i="11"/>
  <c r="V51" i="11"/>
  <c r="W51" i="11"/>
  <c r="Q51" i="11"/>
  <c r="R51" i="11"/>
  <c r="L51" i="11"/>
  <c r="M51" i="11"/>
  <c r="H51" i="11"/>
  <c r="V50" i="11"/>
  <c r="W50" i="11"/>
  <c r="Q50" i="11"/>
  <c r="R50" i="11"/>
  <c r="L50" i="11"/>
  <c r="M50" i="11"/>
  <c r="G50" i="11"/>
  <c r="H50" i="11"/>
  <c r="V46" i="11"/>
  <c r="W46" i="11"/>
  <c r="L46" i="11"/>
  <c r="M46" i="11"/>
  <c r="G46" i="11"/>
  <c r="H46" i="11"/>
  <c r="V45" i="11"/>
  <c r="W45" i="11"/>
  <c r="L45" i="11"/>
  <c r="M45" i="11"/>
  <c r="G45" i="11"/>
  <c r="H45" i="11"/>
  <c r="V44" i="11"/>
  <c r="W44" i="11"/>
  <c r="L44" i="11"/>
  <c r="M44" i="11"/>
  <c r="G44" i="11"/>
  <c r="H44" i="11"/>
  <c r="V43" i="11"/>
  <c r="W43" i="11"/>
  <c r="Q43" i="11"/>
  <c r="R43" i="11"/>
  <c r="L43" i="11"/>
  <c r="M43" i="11"/>
  <c r="G43" i="11"/>
  <c r="H43" i="11"/>
  <c r="V42" i="11"/>
  <c r="W42" i="11"/>
  <c r="Q42" i="11"/>
  <c r="R42" i="11"/>
  <c r="L42" i="11"/>
  <c r="M42" i="11"/>
  <c r="G42" i="11"/>
  <c r="H42" i="11"/>
  <c r="V41" i="11"/>
  <c r="W41" i="11"/>
  <c r="Q41" i="11"/>
  <c r="R41" i="11"/>
  <c r="L41" i="11"/>
  <c r="M41" i="11"/>
  <c r="G41" i="11"/>
  <c r="H41" i="11"/>
  <c r="V40" i="11"/>
  <c r="W40" i="11"/>
  <c r="Q40" i="11"/>
  <c r="R40" i="11"/>
  <c r="L40" i="11"/>
  <c r="M40" i="11" s="1"/>
  <c r="G40" i="11"/>
  <c r="H40" i="11"/>
  <c r="V39" i="11"/>
  <c r="W39" i="11"/>
  <c r="Q39" i="11"/>
  <c r="R39" i="11"/>
  <c r="L39" i="11"/>
  <c r="M39" i="11"/>
  <c r="G39" i="11"/>
  <c r="H39" i="11"/>
  <c r="V38" i="11"/>
  <c r="W38" i="11"/>
  <c r="Q38" i="11"/>
  <c r="R38" i="11"/>
  <c r="L38" i="11"/>
  <c r="M38" i="11"/>
  <c r="G38" i="11"/>
  <c r="H38" i="11"/>
  <c r="V37" i="11"/>
  <c r="W37" i="11"/>
  <c r="T36" i="11"/>
  <c r="O36" i="11"/>
  <c r="L37" i="11"/>
  <c r="M37" i="11"/>
  <c r="G37" i="11"/>
  <c r="H37" i="11"/>
  <c r="U36" i="11"/>
  <c r="P36" i="11"/>
  <c r="K36" i="11"/>
  <c r="J36" i="11"/>
  <c r="F36" i="11"/>
  <c r="E36" i="11"/>
  <c r="D36" i="11"/>
  <c r="C36" i="11"/>
  <c r="V35" i="11"/>
  <c r="W35" i="11" s="1"/>
  <c r="Q35" i="11"/>
  <c r="R35" i="11"/>
  <c r="L35" i="11"/>
  <c r="M35" i="11"/>
  <c r="G35" i="11"/>
  <c r="H35" i="11"/>
  <c r="V34" i="11"/>
  <c r="W34" i="11"/>
  <c r="Q34" i="11"/>
  <c r="R34" i="11"/>
  <c r="L34" i="11"/>
  <c r="M34" i="11"/>
  <c r="G34" i="11"/>
  <c r="H34" i="11"/>
  <c r="V33" i="11"/>
  <c r="W33" i="11" s="1"/>
  <c r="Q33" i="11"/>
  <c r="R33" i="11"/>
  <c r="L33" i="11"/>
  <c r="M33" i="11"/>
  <c r="G33" i="11"/>
  <c r="H33" i="11"/>
  <c r="V32" i="11"/>
  <c r="W32" i="11" s="1"/>
  <c r="Q32" i="11"/>
  <c r="R32" i="11"/>
  <c r="L32" i="11"/>
  <c r="M32" i="11"/>
  <c r="G32" i="11"/>
  <c r="H32" i="11"/>
  <c r="V31" i="11"/>
  <c r="W31" i="11"/>
  <c r="Q31" i="11"/>
  <c r="R31" i="11"/>
  <c r="L31" i="11"/>
  <c r="M31" i="11"/>
  <c r="G31" i="11"/>
  <c r="H31" i="11" s="1"/>
  <c r="V30" i="11"/>
  <c r="W30" i="11"/>
  <c r="Q30" i="11"/>
  <c r="R30" i="11"/>
  <c r="L30" i="11"/>
  <c r="M30" i="11"/>
  <c r="G30" i="11"/>
  <c r="H30" i="11"/>
  <c r="V29" i="11"/>
  <c r="W29" i="11"/>
  <c r="Q29" i="11"/>
  <c r="R29" i="11"/>
  <c r="L29" i="11"/>
  <c r="M29" i="11" s="1"/>
  <c r="G29" i="11"/>
  <c r="H29" i="11"/>
  <c r="V28" i="11"/>
  <c r="W28" i="11"/>
  <c r="Q28" i="11"/>
  <c r="R28" i="11"/>
  <c r="L28" i="11"/>
  <c r="M28" i="11" s="1"/>
  <c r="G28" i="11"/>
  <c r="H28" i="11"/>
  <c r="U26" i="11"/>
  <c r="Q27" i="11"/>
  <c r="R27" i="11"/>
  <c r="L27" i="11"/>
  <c r="M27" i="11"/>
  <c r="G27" i="11"/>
  <c r="H27" i="11"/>
  <c r="T26" i="11"/>
  <c r="P26" i="11"/>
  <c r="O26" i="11"/>
  <c r="K26" i="11"/>
  <c r="J26" i="11"/>
  <c r="F26" i="11"/>
  <c r="E26" i="11"/>
  <c r="D26" i="11"/>
  <c r="C26" i="11"/>
  <c r="E25" i="11"/>
  <c r="V24" i="11"/>
  <c r="W24" i="11"/>
  <c r="Q24" i="11"/>
  <c r="R24" i="11"/>
  <c r="M24" i="11"/>
  <c r="G24" i="11"/>
  <c r="H24" i="11"/>
  <c r="V23" i="11"/>
  <c r="W23" i="11"/>
  <c r="Q23" i="11"/>
  <c r="R23" i="11"/>
  <c r="M23" i="11"/>
  <c r="G23" i="11"/>
  <c r="H23" i="11"/>
  <c r="V22" i="11"/>
  <c r="W22" i="11"/>
  <c r="Q22" i="11"/>
  <c r="R22" i="11"/>
  <c r="M22" i="11"/>
  <c r="G22" i="11"/>
  <c r="H22" i="11" s="1"/>
  <c r="V21" i="11"/>
  <c r="W21" i="11"/>
  <c r="Q21" i="11"/>
  <c r="R21" i="11"/>
  <c r="M21" i="11"/>
  <c r="H21" i="11"/>
  <c r="V20" i="11"/>
  <c r="W20" i="11"/>
  <c r="Q20" i="11"/>
  <c r="R20" i="11"/>
  <c r="L20" i="11"/>
  <c r="M20" i="11"/>
  <c r="G20" i="11"/>
  <c r="H20" i="11"/>
  <c r="V19" i="11"/>
  <c r="W19" i="11"/>
  <c r="Q19" i="11"/>
  <c r="R19" i="11"/>
  <c r="L19" i="11"/>
  <c r="M19" i="11"/>
  <c r="G19" i="11"/>
  <c r="H19" i="11"/>
  <c r="V18" i="11"/>
  <c r="W18" i="11"/>
  <c r="Q18" i="11"/>
  <c r="R18" i="11"/>
  <c r="L18" i="11"/>
  <c r="M18" i="11"/>
  <c r="G18" i="11"/>
  <c r="H18" i="11" s="1"/>
  <c r="V17" i="11"/>
  <c r="W17" i="11"/>
  <c r="Q17" i="11"/>
  <c r="R17" i="11"/>
  <c r="L17" i="11"/>
  <c r="M17" i="11" s="1"/>
  <c r="G17" i="11"/>
  <c r="H17" i="11"/>
  <c r="V16" i="11"/>
  <c r="W16" i="11"/>
  <c r="Q16" i="11"/>
  <c r="R16" i="11"/>
  <c r="L16" i="11"/>
  <c r="M16" i="11"/>
  <c r="G16" i="11"/>
  <c r="H16" i="11"/>
  <c r="V15" i="11"/>
  <c r="W15" i="11"/>
  <c r="Q15" i="11"/>
  <c r="R15" i="11"/>
  <c r="L15" i="11"/>
  <c r="M15" i="11"/>
  <c r="G15" i="11"/>
  <c r="H15" i="11"/>
  <c r="V14" i="11"/>
  <c r="W14" i="11"/>
  <c r="O14" i="11"/>
  <c r="Q14" i="11" s="1"/>
  <c r="R14" i="11" s="1"/>
  <c r="L14" i="11"/>
  <c r="M14" i="11"/>
  <c r="G14" i="11"/>
  <c r="H14" i="11"/>
  <c r="V13" i="11"/>
  <c r="W13" i="11"/>
  <c r="P11" i="11"/>
  <c r="L13" i="11"/>
  <c r="M13" i="11"/>
  <c r="G13" i="11"/>
  <c r="H13" i="11"/>
  <c r="V12" i="11"/>
  <c r="W12" i="11"/>
  <c r="Q12" i="11"/>
  <c r="R12" i="11"/>
  <c r="K11" i="11"/>
  <c r="G12" i="11"/>
  <c r="H12" i="11"/>
  <c r="U11" i="11"/>
  <c r="T11" i="11"/>
  <c r="V11" i="11"/>
  <c r="W11" i="11"/>
  <c r="O11" i="11"/>
  <c r="J11" i="11"/>
  <c r="F11" i="11"/>
  <c r="E11" i="11"/>
  <c r="G11" i="11"/>
  <c r="H11" i="11"/>
  <c r="D11" i="11"/>
  <c r="C11" i="11"/>
  <c r="V10" i="11"/>
  <c r="W10" i="11"/>
  <c r="Q10" i="11"/>
  <c r="R10" i="11"/>
  <c r="L10" i="11"/>
  <c r="M10" i="11"/>
  <c r="G10" i="11"/>
  <c r="H10" i="11"/>
  <c r="V9" i="11"/>
  <c r="W9" i="11"/>
  <c r="Q9" i="11"/>
  <c r="R9" i="11"/>
  <c r="L9" i="11"/>
  <c r="M9" i="11"/>
  <c r="G9" i="11"/>
  <c r="H9" i="11"/>
  <c r="V8" i="11"/>
  <c r="W8" i="11"/>
  <c r="Q8" i="11"/>
  <c r="R8" i="11"/>
  <c r="L8" i="11"/>
  <c r="M8" i="11"/>
  <c r="G8" i="11"/>
  <c r="H8" i="11"/>
  <c r="V7" i="11"/>
  <c r="W7" i="11"/>
  <c r="Q7" i="11"/>
  <c r="R7" i="11"/>
  <c r="L7" i="11"/>
  <c r="M7" i="11"/>
  <c r="G7" i="11"/>
  <c r="H7" i="11"/>
  <c r="V6" i="11"/>
  <c r="W6" i="11"/>
  <c r="Q6" i="11"/>
  <c r="R6" i="11"/>
  <c r="L6" i="11"/>
  <c r="M6" i="11"/>
  <c r="G6" i="11"/>
  <c r="H6" i="11"/>
  <c r="V5" i="11"/>
  <c r="W5" i="11"/>
  <c r="Q5" i="11"/>
  <c r="R5" i="11"/>
  <c r="L5" i="11"/>
  <c r="M5" i="11"/>
  <c r="G5" i="11"/>
  <c r="H5" i="11"/>
  <c r="U4" i="11"/>
  <c r="T4" i="11"/>
  <c r="P4" i="11"/>
  <c r="O4" i="11"/>
  <c r="K4" i="11"/>
  <c r="J4" i="11"/>
  <c r="F4" i="11"/>
  <c r="E4" i="11"/>
  <c r="D4" i="11"/>
  <c r="C4" i="11"/>
  <c r="Q19" i="12"/>
  <c r="R19" i="12"/>
  <c r="L19" i="12"/>
  <c r="M19" i="12"/>
  <c r="G19" i="12"/>
  <c r="H19" i="12"/>
  <c r="Q18" i="12"/>
  <c r="R18" i="12"/>
  <c r="L18" i="12"/>
  <c r="M18" i="12"/>
  <c r="G18" i="12"/>
  <c r="H18" i="12"/>
  <c r="S20" i="12"/>
  <c r="Q16" i="12"/>
  <c r="R16" i="12"/>
  <c r="L16" i="12"/>
  <c r="M16" i="12"/>
  <c r="G16" i="12"/>
  <c r="H16" i="12"/>
  <c r="Q14" i="12"/>
  <c r="R14" i="12"/>
  <c r="L14" i="12"/>
  <c r="M14" i="12"/>
  <c r="G14" i="12"/>
  <c r="H14" i="12"/>
  <c r="Q13" i="12"/>
  <c r="R13" i="12"/>
  <c r="L13" i="12"/>
  <c r="M13" i="12"/>
  <c r="G13" i="12"/>
  <c r="H13" i="12"/>
  <c r="G12" i="12"/>
  <c r="H12" i="12"/>
  <c r="Q11" i="12"/>
  <c r="R11" i="12"/>
  <c r="L11" i="12"/>
  <c r="M11" i="12"/>
  <c r="G11" i="12"/>
  <c r="H11" i="12"/>
  <c r="Q10" i="12"/>
  <c r="R10" i="12"/>
  <c r="L10" i="12"/>
  <c r="M10" i="12"/>
  <c r="G10" i="12"/>
  <c r="H10" i="12"/>
  <c r="G9" i="12"/>
  <c r="H9" i="12"/>
  <c r="G8" i="12"/>
  <c r="H8" i="12"/>
  <c r="G7" i="12"/>
  <c r="H7" i="12"/>
  <c r="R6" i="12"/>
  <c r="L6" i="12"/>
  <c r="M6" i="12"/>
  <c r="G6" i="12"/>
  <c r="H6" i="12"/>
  <c r="U5" i="12"/>
  <c r="U15" i="12"/>
  <c r="T5" i="12"/>
  <c r="T15" i="12"/>
  <c r="T17" i="12"/>
  <c r="P5" i="12"/>
  <c r="O5" i="12"/>
  <c r="K5" i="12"/>
  <c r="F5" i="12"/>
  <c r="E5" i="12"/>
  <c r="D5" i="12"/>
  <c r="D15" i="12"/>
  <c r="D17" i="12"/>
  <c r="C5" i="12"/>
  <c r="C15" i="12"/>
  <c r="C17" i="12"/>
  <c r="C20" i="12"/>
  <c r="J5" i="12"/>
  <c r="G4" i="12"/>
  <c r="H4" i="12"/>
  <c r="V44" i="5"/>
  <c r="W44" i="5"/>
  <c r="L5" i="12"/>
  <c r="O15" i="12"/>
  <c r="O17" i="12"/>
  <c r="R31" i="5"/>
  <c r="R29" i="5" s="1"/>
  <c r="R27" i="5"/>
  <c r="R34" i="5"/>
  <c r="Q16" i="5"/>
  <c r="R16" i="5"/>
  <c r="P19" i="5"/>
  <c r="K172" i="2"/>
  <c r="C4" i="13"/>
  <c r="T3" i="11"/>
  <c r="L52" i="11"/>
  <c r="M52" i="11"/>
  <c r="Q52" i="11"/>
  <c r="R52" i="11"/>
  <c r="L60" i="11"/>
  <c r="M60" i="11"/>
  <c r="D25" i="11"/>
  <c r="Q36" i="11"/>
  <c r="R36" i="11"/>
  <c r="J25" i="11"/>
  <c r="L36" i="11"/>
  <c r="M36" i="11"/>
  <c r="T25" i="11"/>
  <c r="T47" i="11"/>
  <c r="F49" i="11"/>
  <c r="G49" i="11"/>
  <c r="H49" i="11"/>
  <c r="E59" i="11"/>
  <c r="E80" i="11"/>
  <c r="G84" i="11"/>
  <c r="H84" i="11"/>
  <c r="T59" i="11"/>
  <c r="O82" i="11"/>
  <c r="G70" i="11"/>
  <c r="H70" i="11"/>
  <c r="J59" i="11"/>
  <c r="J80" i="11"/>
  <c r="T83" i="11"/>
  <c r="T82" i="11"/>
  <c r="O59" i="11"/>
  <c r="E83" i="11"/>
  <c r="E82" i="11"/>
  <c r="D49" i="11"/>
  <c r="T49" i="11"/>
  <c r="V49" i="11"/>
  <c r="W49" i="11"/>
  <c r="O49" i="11"/>
  <c r="L55" i="11"/>
  <c r="M55" i="11"/>
  <c r="J3" i="11"/>
  <c r="O3" i="11"/>
  <c r="L11" i="11"/>
  <c r="M11" i="11"/>
  <c r="E3" i="11"/>
  <c r="E47" i="11"/>
  <c r="D3" i="11"/>
  <c r="D59" i="11"/>
  <c r="D83" i="11"/>
  <c r="D82" i="11"/>
  <c r="C59" i="11"/>
  <c r="C25" i="11"/>
  <c r="C3" i="11"/>
  <c r="G55" i="11"/>
  <c r="H55" i="11"/>
  <c r="G26" i="11"/>
  <c r="H26" i="11"/>
  <c r="P25" i="11"/>
  <c r="Q4" i="11"/>
  <c r="R4" i="11"/>
  <c r="P3" i="11"/>
  <c r="Q70" i="11"/>
  <c r="R70" i="11"/>
  <c r="Q5" i="12"/>
  <c r="R5" i="12"/>
  <c r="J15" i="12"/>
  <c r="J17" i="12"/>
  <c r="G5" i="12"/>
  <c r="H5" i="12"/>
  <c r="E15" i="12"/>
  <c r="E17" i="12"/>
  <c r="C27" i="13"/>
  <c r="C3" i="13"/>
  <c r="D47" i="5"/>
  <c r="Q3" i="9"/>
  <c r="R3" i="9"/>
  <c r="L3" i="9"/>
  <c r="M3" i="9"/>
  <c r="V47" i="9"/>
  <c r="W47" i="9"/>
  <c r="G16" i="9"/>
  <c r="H16" i="9"/>
  <c r="G3" i="9"/>
  <c r="H3" i="9"/>
  <c r="L41" i="9"/>
  <c r="M41" i="9"/>
  <c r="O16" i="9"/>
  <c r="E19" i="5"/>
  <c r="V36" i="5"/>
  <c r="W36" i="5"/>
  <c r="L18" i="9"/>
  <c r="M18" i="9"/>
  <c r="V18" i="9"/>
  <c r="W18" i="9"/>
  <c r="U17" i="9"/>
  <c r="G17" i="9"/>
  <c r="H17" i="9"/>
  <c r="G18" i="9"/>
  <c r="H18" i="9"/>
  <c r="V3" i="9"/>
  <c r="W3" i="9"/>
  <c r="V27" i="5"/>
  <c r="W27" i="5"/>
  <c r="E47" i="5"/>
  <c r="G47" i="5"/>
  <c r="H47" i="5"/>
  <c r="G19" i="5"/>
  <c r="H19" i="5"/>
  <c r="C47" i="5"/>
  <c r="L6" i="5"/>
  <c r="M6" i="5"/>
  <c r="Q6" i="5"/>
  <c r="R6" i="5"/>
  <c r="G5" i="5"/>
  <c r="H5" i="5"/>
  <c r="G36" i="5"/>
  <c r="H36" i="5"/>
  <c r="L9" i="5"/>
  <c r="M9" i="5"/>
  <c r="Q9" i="5"/>
  <c r="R9" i="5"/>
  <c r="V29" i="5"/>
  <c r="W29" i="5"/>
  <c r="J44" i="5"/>
  <c r="L44" i="5"/>
  <c r="M44" i="5"/>
  <c r="V17" i="5"/>
  <c r="W17" i="5"/>
  <c r="U3" i="11"/>
  <c r="V3" i="11"/>
  <c r="W3" i="11"/>
  <c r="V4" i="11"/>
  <c r="W4" i="11"/>
  <c r="Q37" i="11"/>
  <c r="R37" i="11"/>
  <c r="G36" i="11"/>
  <c r="H36" i="11"/>
  <c r="F25" i="11"/>
  <c r="Q13" i="11"/>
  <c r="R13" i="11"/>
  <c r="L12" i="11"/>
  <c r="M12" i="11"/>
  <c r="J84" i="11"/>
  <c r="J82" i="11"/>
  <c r="W60" i="11"/>
  <c r="U83" i="11"/>
  <c r="V26" i="11"/>
  <c r="W26" i="11"/>
  <c r="U25" i="11"/>
  <c r="V36" i="11"/>
  <c r="W36" i="11"/>
  <c r="P83" i="11"/>
  <c r="P59" i="11"/>
  <c r="C83" i="11"/>
  <c r="C82" i="11"/>
  <c r="Q84" i="11"/>
  <c r="R84" i="11"/>
  <c r="F59" i="11"/>
  <c r="G60" i="11"/>
  <c r="H60" i="11"/>
  <c r="F83" i="11"/>
  <c r="Q11" i="11"/>
  <c r="R11" i="11"/>
  <c r="L49" i="11"/>
  <c r="M49" i="11"/>
  <c r="F3" i="11"/>
  <c r="G4" i="11"/>
  <c r="H4" i="11"/>
  <c r="K25" i="11"/>
  <c r="L26" i="11"/>
  <c r="M26" i="11"/>
  <c r="K3" i="11"/>
  <c r="L4" i="11"/>
  <c r="M4" i="11"/>
  <c r="O25" i="11"/>
  <c r="O47" i="11"/>
  <c r="C49" i="11"/>
  <c r="Q60" i="11"/>
  <c r="R60" i="11"/>
  <c r="U70" i="11"/>
  <c r="K70" i="11"/>
  <c r="G74" i="11"/>
  <c r="H74" i="11"/>
  <c r="V27" i="11"/>
  <c r="W27" i="11"/>
  <c r="K83" i="11"/>
  <c r="P49" i="11"/>
  <c r="Q49" i="11"/>
  <c r="R49" i="11"/>
  <c r="G52" i="11"/>
  <c r="H52" i="11"/>
  <c r="V52" i="11"/>
  <c r="W52" i="11"/>
  <c r="Q26" i="11"/>
  <c r="R26" i="11"/>
  <c r="U17" i="12"/>
  <c r="M5" i="12"/>
  <c r="K15" i="12"/>
  <c r="L15" i="12"/>
  <c r="F15" i="12"/>
  <c r="P15" i="12"/>
  <c r="Q171" i="2"/>
  <c r="R171" i="2"/>
  <c r="L171" i="2"/>
  <c r="M171" i="2"/>
  <c r="G171" i="2"/>
  <c r="H171" i="2"/>
  <c r="L170" i="2"/>
  <c r="M170" i="2"/>
  <c r="Q169" i="2"/>
  <c r="R169" i="2"/>
  <c r="L169" i="2"/>
  <c r="M169" i="2"/>
  <c r="G169" i="2"/>
  <c r="H169" i="2"/>
  <c r="Q168" i="2"/>
  <c r="R168" i="2"/>
  <c r="L168" i="2"/>
  <c r="M168" i="2"/>
  <c r="G168" i="2"/>
  <c r="H168" i="2"/>
  <c r="Q167" i="2"/>
  <c r="R167" i="2"/>
  <c r="L167" i="2"/>
  <c r="M167" i="2"/>
  <c r="G167" i="2"/>
  <c r="H167" i="2"/>
  <c r="Q166" i="2"/>
  <c r="R166" i="2"/>
  <c r="L166" i="2"/>
  <c r="M166" i="2"/>
  <c r="G166" i="2"/>
  <c r="H166" i="2"/>
  <c r="Q165" i="2"/>
  <c r="R165" i="2"/>
  <c r="L165" i="2"/>
  <c r="M165" i="2"/>
  <c r="G165" i="2"/>
  <c r="H165" i="2"/>
  <c r="Q162" i="2"/>
  <c r="R162" i="2" s="1"/>
  <c r="L162" i="2"/>
  <c r="M162" i="2"/>
  <c r="Q161" i="2"/>
  <c r="R161" i="2"/>
  <c r="L161" i="2"/>
  <c r="M161" i="2"/>
  <c r="G161" i="2"/>
  <c r="H161" i="2"/>
  <c r="Q160" i="2"/>
  <c r="R160" i="2"/>
  <c r="L160" i="2"/>
  <c r="M160" i="2"/>
  <c r="G160" i="2"/>
  <c r="H160" i="2"/>
  <c r="Q159" i="2"/>
  <c r="R159" i="2"/>
  <c r="L159" i="2"/>
  <c r="M159" i="2"/>
  <c r="G159" i="2"/>
  <c r="H159" i="2"/>
  <c r="Q158" i="2"/>
  <c r="R158" i="2"/>
  <c r="L158" i="2"/>
  <c r="M158" i="2"/>
  <c r="G158" i="2"/>
  <c r="H158" i="2"/>
  <c r="Q157" i="2"/>
  <c r="R157" i="2"/>
  <c r="L157" i="2"/>
  <c r="M157" i="2"/>
  <c r="G157" i="2"/>
  <c r="H157" i="2"/>
  <c r="Q156" i="2"/>
  <c r="R156" i="2"/>
  <c r="G156" i="2"/>
  <c r="H156" i="2"/>
  <c r="Q155" i="2"/>
  <c r="R155" i="2"/>
  <c r="L155" i="2"/>
  <c r="M155" i="2"/>
  <c r="G155" i="2"/>
  <c r="H155" i="2"/>
  <c r="Q152" i="2"/>
  <c r="R152" i="2"/>
  <c r="L152" i="2"/>
  <c r="M152" i="2"/>
  <c r="G152" i="2"/>
  <c r="H152" i="2"/>
  <c r="Q151" i="2"/>
  <c r="R151" i="2"/>
  <c r="L151" i="2"/>
  <c r="M151" i="2"/>
  <c r="G151" i="2"/>
  <c r="H151" i="2"/>
  <c r="Q150" i="2"/>
  <c r="R150" i="2"/>
  <c r="L150" i="2"/>
  <c r="M150" i="2"/>
  <c r="G150" i="2"/>
  <c r="H150" i="2"/>
  <c r="Q149" i="2"/>
  <c r="R149" i="2"/>
  <c r="L149" i="2"/>
  <c r="M149" i="2"/>
  <c r="G149" i="2"/>
  <c r="H149" i="2"/>
  <c r="Q148" i="2"/>
  <c r="R148" i="2" s="1"/>
  <c r="L148" i="2"/>
  <c r="M148" i="2"/>
  <c r="G148" i="2"/>
  <c r="H148" i="2"/>
  <c r="Q147" i="2"/>
  <c r="R147" i="2"/>
  <c r="L147" i="2"/>
  <c r="M147" i="2"/>
  <c r="G147" i="2"/>
  <c r="H147" i="2"/>
  <c r="F146" i="2"/>
  <c r="Q143" i="2"/>
  <c r="R143" i="2"/>
  <c r="L143" i="2"/>
  <c r="M143" i="2"/>
  <c r="G143" i="2"/>
  <c r="H143" i="2"/>
  <c r="Q142" i="2"/>
  <c r="R142" i="2"/>
  <c r="L142" i="2"/>
  <c r="M142" i="2"/>
  <c r="G142" i="2"/>
  <c r="H142" i="2"/>
  <c r="Q141" i="2"/>
  <c r="R141" i="2"/>
  <c r="M141" i="2"/>
  <c r="G141" i="2"/>
  <c r="H141" i="2"/>
  <c r="Q140" i="2"/>
  <c r="R140" i="2"/>
  <c r="F140" i="2"/>
  <c r="Q138" i="2"/>
  <c r="R138" i="2"/>
  <c r="L138" i="2"/>
  <c r="M138" i="2"/>
  <c r="G138" i="2"/>
  <c r="H138" i="2"/>
  <c r="Q137" i="2"/>
  <c r="R137" i="2"/>
  <c r="L137" i="2"/>
  <c r="M137" i="2"/>
  <c r="G137" i="2"/>
  <c r="H137" i="2"/>
  <c r="Q136" i="2"/>
  <c r="R136" i="2"/>
  <c r="L136" i="2"/>
  <c r="M136" i="2"/>
  <c r="G136" i="2"/>
  <c r="H136" i="2"/>
  <c r="Q135" i="2"/>
  <c r="R135" i="2"/>
  <c r="L135" i="2"/>
  <c r="M135" i="2"/>
  <c r="G135" i="2"/>
  <c r="H135" i="2"/>
  <c r="Q134" i="2"/>
  <c r="R134" i="2"/>
  <c r="L134" i="2"/>
  <c r="M134" i="2"/>
  <c r="G134" i="2"/>
  <c r="H134" i="2"/>
  <c r="Q133" i="2"/>
  <c r="R133" i="2"/>
  <c r="L133" i="2"/>
  <c r="M133" i="2"/>
  <c r="G133" i="2"/>
  <c r="H133" i="2"/>
  <c r="Q132" i="2"/>
  <c r="R132" i="2" s="1"/>
  <c r="L132" i="2"/>
  <c r="M132" i="2"/>
  <c r="Q131" i="2"/>
  <c r="R131" i="2"/>
  <c r="L131" i="2"/>
  <c r="M131" i="2"/>
  <c r="G131" i="2"/>
  <c r="H131" i="2"/>
  <c r="Q128" i="2"/>
  <c r="R128" i="2" s="1"/>
  <c r="L128" i="2"/>
  <c r="M128" i="2"/>
  <c r="G128" i="2"/>
  <c r="H128" i="2"/>
  <c r="Q127" i="2"/>
  <c r="R127" i="2" s="1"/>
  <c r="L127" i="2"/>
  <c r="M127" i="2"/>
  <c r="G127" i="2"/>
  <c r="H127" i="2"/>
  <c r="Q126" i="2"/>
  <c r="R126" i="2"/>
  <c r="L126" i="2"/>
  <c r="M126" i="2"/>
  <c r="G126" i="2"/>
  <c r="H126" i="2"/>
  <c r="Q125" i="2"/>
  <c r="R125" i="2"/>
  <c r="L125" i="2"/>
  <c r="M125" i="2" s="1"/>
  <c r="G125" i="2"/>
  <c r="H125" i="2"/>
  <c r="Q124" i="2"/>
  <c r="R124" i="2"/>
  <c r="L124" i="2"/>
  <c r="M124" i="2"/>
  <c r="G124" i="2"/>
  <c r="H124" i="2"/>
  <c r="Q123" i="2"/>
  <c r="R123" i="2"/>
  <c r="L123" i="2"/>
  <c r="M123" i="2"/>
  <c r="G123" i="2"/>
  <c r="H123" i="2"/>
  <c r="Q122" i="2"/>
  <c r="R122" i="2" s="1"/>
  <c r="L122" i="2"/>
  <c r="M122" i="2"/>
  <c r="G122" i="2"/>
  <c r="H122" i="2"/>
  <c r="Q121" i="2"/>
  <c r="R121" i="2"/>
  <c r="L121" i="2"/>
  <c r="M121" i="2"/>
  <c r="G121" i="2"/>
  <c r="H121" i="2"/>
  <c r="Q120" i="2"/>
  <c r="R120" i="2"/>
  <c r="L120" i="2"/>
  <c r="M120" i="2"/>
  <c r="G120" i="2"/>
  <c r="H120" i="2"/>
  <c r="L119" i="2"/>
  <c r="M119" i="2"/>
  <c r="F119" i="2"/>
  <c r="Q118" i="2"/>
  <c r="R118" i="2"/>
  <c r="L118" i="2"/>
  <c r="M118" i="2"/>
  <c r="G118" i="2"/>
  <c r="H118" i="2"/>
  <c r="Q117" i="2"/>
  <c r="R117" i="2" s="1"/>
  <c r="L117" i="2"/>
  <c r="M117" i="2"/>
  <c r="G117" i="2"/>
  <c r="H117" i="2"/>
  <c r="Q116" i="2"/>
  <c r="R116" i="2"/>
  <c r="L116" i="2"/>
  <c r="M116" i="2"/>
  <c r="G116" i="2"/>
  <c r="H116" i="2"/>
  <c r="F114" i="2"/>
  <c r="G114" i="2"/>
  <c r="H114" i="2"/>
  <c r="Q113" i="2"/>
  <c r="R113" i="2"/>
  <c r="L113" i="2"/>
  <c r="M113" i="2"/>
  <c r="G113" i="2"/>
  <c r="H113" i="2"/>
  <c r="Q112" i="2"/>
  <c r="R112" i="2"/>
  <c r="L112" i="2"/>
  <c r="M112" i="2"/>
  <c r="G112" i="2"/>
  <c r="H112" i="2"/>
  <c r="Q111" i="2"/>
  <c r="R111" i="2" s="1"/>
  <c r="L111" i="2"/>
  <c r="M111" i="2"/>
  <c r="G111" i="2"/>
  <c r="H111" i="2"/>
  <c r="Q110" i="2"/>
  <c r="R110" i="2"/>
  <c r="L110" i="2"/>
  <c r="M110" i="2"/>
  <c r="G110" i="2"/>
  <c r="H110" i="2"/>
  <c r="L109" i="2"/>
  <c r="M109" i="2"/>
  <c r="F109" i="2"/>
  <c r="G109" i="2"/>
  <c r="H109" i="2"/>
  <c r="Q108" i="2"/>
  <c r="R108" i="2"/>
  <c r="L108" i="2"/>
  <c r="M108" i="2"/>
  <c r="G108" i="2"/>
  <c r="H108" i="2"/>
  <c r="Q107" i="2"/>
  <c r="R107" i="2"/>
  <c r="L107" i="2"/>
  <c r="M107" i="2"/>
  <c r="G107" i="2"/>
  <c r="H107" i="2"/>
  <c r="Q106" i="2"/>
  <c r="R106" i="2"/>
  <c r="L106" i="2"/>
  <c r="M106" i="2"/>
  <c r="G106" i="2"/>
  <c r="H106" i="2"/>
  <c r="Q105" i="2"/>
  <c r="R105" i="2"/>
  <c r="L105" i="2"/>
  <c r="M105" i="2"/>
  <c r="G105" i="2"/>
  <c r="H105" i="2"/>
  <c r="L104" i="2"/>
  <c r="M104" i="2"/>
  <c r="Q102" i="2"/>
  <c r="R102" i="2"/>
  <c r="L102" i="2"/>
  <c r="M102" i="2"/>
  <c r="G102" i="2"/>
  <c r="H102" i="2"/>
  <c r="Q101" i="2"/>
  <c r="R101" i="2"/>
  <c r="L101" i="2"/>
  <c r="M101" i="2"/>
  <c r="G101" i="2"/>
  <c r="H101" i="2"/>
  <c r="Q100" i="2"/>
  <c r="R100" i="2"/>
  <c r="L100" i="2"/>
  <c r="M100" i="2"/>
  <c r="G100" i="2"/>
  <c r="H100" i="2"/>
  <c r="Q99" i="2"/>
  <c r="R99" i="2"/>
  <c r="L99" i="2"/>
  <c r="M99" i="2"/>
  <c r="G99" i="2"/>
  <c r="H99" i="2"/>
  <c r="Q98" i="2"/>
  <c r="R98" i="2"/>
  <c r="L98" i="2"/>
  <c r="M98" i="2"/>
  <c r="G98" i="2"/>
  <c r="H98" i="2"/>
  <c r="Q97" i="2"/>
  <c r="R97" i="2"/>
  <c r="L97" i="2"/>
  <c r="M97" i="2"/>
  <c r="G97" i="2"/>
  <c r="H97" i="2"/>
  <c r="Q96" i="2"/>
  <c r="R96" i="2"/>
  <c r="L96" i="2"/>
  <c r="M96" i="2"/>
  <c r="F96" i="2"/>
  <c r="Q95" i="2"/>
  <c r="R95" i="2"/>
  <c r="L95" i="2"/>
  <c r="M95" i="2"/>
  <c r="G95" i="2"/>
  <c r="H95" i="2"/>
  <c r="Q94" i="2"/>
  <c r="R94" i="2"/>
  <c r="L94" i="2"/>
  <c r="M94" i="2"/>
  <c r="G94" i="2"/>
  <c r="H94" i="2"/>
  <c r="Q93" i="2"/>
  <c r="R93" i="2"/>
  <c r="L93" i="2"/>
  <c r="M93" i="2"/>
  <c r="G93" i="2"/>
  <c r="H93" i="2"/>
  <c r="Q92" i="2"/>
  <c r="R92" i="2"/>
  <c r="L92" i="2"/>
  <c r="M92" i="2"/>
  <c r="G92" i="2"/>
  <c r="H92" i="2"/>
  <c r="Q91" i="2"/>
  <c r="R91" i="2"/>
  <c r="L91" i="2"/>
  <c r="M91" i="2"/>
  <c r="G91" i="2"/>
  <c r="H91" i="2"/>
  <c r="Q90" i="2"/>
  <c r="R90" i="2"/>
  <c r="L90" i="2"/>
  <c r="M90" i="2"/>
  <c r="F90" i="2"/>
  <c r="G90" i="2"/>
  <c r="H90" i="2"/>
  <c r="Q89" i="2"/>
  <c r="R89" i="2" s="1"/>
  <c r="L89" i="2"/>
  <c r="M89" i="2"/>
  <c r="G89" i="2"/>
  <c r="H89" i="2"/>
  <c r="Q88" i="2"/>
  <c r="R88" i="2" s="1"/>
  <c r="L88" i="2"/>
  <c r="M88" i="2"/>
  <c r="G88" i="2"/>
  <c r="H88" i="2"/>
  <c r="Q87" i="2"/>
  <c r="R87" i="2" s="1"/>
  <c r="Q86" i="2"/>
  <c r="R86" i="2"/>
  <c r="L86" i="2"/>
  <c r="M86" i="2"/>
  <c r="G86" i="2"/>
  <c r="H86" i="2"/>
  <c r="Q85" i="2"/>
  <c r="R85" i="2"/>
  <c r="L85" i="2"/>
  <c r="M85" i="2"/>
  <c r="G85" i="2"/>
  <c r="H85" i="2"/>
  <c r="Q84" i="2"/>
  <c r="R84" i="2"/>
  <c r="L84" i="2"/>
  <c r="M84" i="2"/>
  <c r="G84" i="2"/>
  <c r="H84" i="2"/>
  <c r="Q83" i="2"/>
  <c r="R83" i="2" s="1"/>
  <c r="L83" i="2"/>
  <c r="M83" i="2"/>
  <c r="G83" i="2"/>
  <c r="H83" i="2"/>
  <c r="Q82" i="2"/>
  <c r="R82" i="2" s="1"/>
  <c r="Q74" i="2"/>
  <c r="R74" i="2" s="1"/>
  <c r="L74" i="2"/>
  <c r="M74" i="2"/>
  <c r="F74" i="2"/>
  <c r="Q80" i="2"/>
  <c r="R80" i="2"/>
  <c r="L80" i="2"/>
  <c r="M80" i="2"/>
  <c r="G80" i="2"/>
  <c r="H80" i="2"/>
  <c r="Q79" i="2"/>
  <c r="R79" i="2" s="1"/>
  <c r="L79" i="2"/>
  <c r="M79" i="2"/>
  <c r="G79" i="2"/>
  <c r="H79" i="2"/>
  <c r="Q78" i="2"/>
  <c r="R78" i="2"/>
  <c r="L78" i="2"/>
  <c r="M78" i="2"/>
  <c r="G78" i="2"/>
  <c r="H78" i="2"/>
  <c r="Q77" i="2"/>
  <c r="R77" i="2"/>
  <c r="L77" i="2"/>
  <c r="M77" i="2"/>
  <c r="G77" i="2"/>
  <c r="H77" i="2"/>
  <c r="Q76" i="2"/>
  <c r="R76" i="2"/>
  <c r="L76" i="2"/>
  <c r="M76" i="2"/>
  <c r="G76" i="2"/>
  <c r="H76" i="2"/>
  <c r="Q75" i="2"/>
  <c r="R75" i="2"/>
  <c r="L75" i="2"/>
  <c r="M75" i="2"/>
  <c r="G75" i="2"/>
  <c r="H75" i="2"/>
  <c r="Q73" i="2"/>
  <c r="R73" i="2"/>
  <c r="L73" i="2"/>
  <c r="M73" i="2"/>
  <c r="G73" i="2"/>
  <c r="H73" i="2"/>
  <c r="Q72" i="2"/>
  <c r="R72" i="2" s="1"/>
  <c r="L72" i="2"/>
  <c r="M72" i="2"/>
  <c r="G72" i="2"/>
  <c r="H72" i="2"/>
  <c r="Q71" i="2"/>
  <c r="R71" i="2" s="1"/>
  <c r="L71" i="2"/>
  <c r="M71" i="2"/>
  <c r="G71" i="2"/>
  <c r="H71" i="2"/>
  <c r="Q70" i="2"/>
  <c r="R70" i="2"/>
  <c r="L70" i="2"/>
  <c r="M70" i="2"/>
  <c r="G70" i="2"/>
  <c r="H70" i="2"/>
  <c r="Q69" i="2"/>
  <c r="R69" i="2" s="1"/>
  <c r="L69" i="2"/>
  <c r="M69" i="2"/>
  <c r="G69" i="2"/>
  <c r="H69" i="2"/>
  <c r="Q68" i="2"/>
  <c r="R68" i="2" s="1"/>
  <c r="F68" i="2"/>
  <c r="Q67" i="2"/>
  <c r="R67" i="2"/>
  <c r="L67" i="2"/>
  <c r="M67" i="2"/>
  <c r="G67" i="2"/>
  <c r="H67" i="2"/>
  <c r="Q65" i="2"/>
  <c r="R65" i="2"/>
  <c r="Q64" i="2"/>
  <c r="R64" i="2" s="1"/>
  <c r="N63" i="2"/>
  <c r="I63" i="2"/>
  <c r="H63" i="2"/>
  <c r="G63" i="2"/>
  <c r="F63" i="2"/>
  <c r="F59" i="2"/>
  <c r="Q62" i="2"/>
  <c r="R62" i="2"/>
  <c r="Q61" i="2"/>
  <c r="R61" i="2"/>
  <c r="N60" i="2"/>
  <c r="I60" i="2"/>
  <c r="H60" i="2"/>
  <c r="G60" i="2"/>
  <c r="Q57" i="2"/>
  <c r="R57" i="2"/>
  <c r="L57" i="2"/>
  <c r="M57" i="2"/>
  <c r="G57" i="2"/>
  <c r="H57" i="2"/>
  <c r="Q56" i="2"/>
  <c r="R56" i="2"/>
  <c r="L56" i="2"/>
  <c r="M56" i="2"/>
  <c r="G56" i="2"/>
  <c r="H56" i="2"/>
  <c r="Q55" i="2"/>
  <c r="R55" i="2"/>
  <c r="L55" i="2"/>
  <c r="M55" i="2"/>
  <c r="G55" i="2"/>
  <c r="H55" i="2"/>
  <c r="Q54" i="2"/>
  <c r="R54" i="2"/>
  <c r="L54" i="2"/>
  <c r="M54" i="2"/>
  <c r="G54" i="2"/>
  <c r="H54" i="2"/>
  <c r="Q53" i="2"/>
  <c r="R53" i="2"/>
  <c r="L53" i="2"/>
  <c r="M53" i="2"/>
  <c r="G53" i="2"/>
  <c r="H53" i="2"/>
  <c r="L52" i="2"/>
  <c r="M52" i="2"/>
  <c r="F52" i="2"/>
  <c r="Q51" i="2"/>
  <c r="R51" i="2" s="1"/>
  <c r="L51" i="2"/>
  <c r="M51" i="2"/>
  <c r="G51" i="2"/>
  <c r="H51" i="2"/>
  <c r="L50" i="2"/>
  <c r="M50" i="2"/>
  <c r="Q49" i="2"/>
  <c r="R49" i="2"/>
  <c r="L49" i="2"/>
  <c r="M49" i="2"/>
  <c r="G49" i="2"/>
  <c r="H49" i="2"/>
  <c r="Q48" i="2"/>
  <c r="R48" i="2"/>
  <c r="L48" i="2"/>
  <c r="M48" i="2"/>
  <c r="G48" i="2"/>
  <c r="H48" i="2"/>
  <c r="Q47" i="2"/>
  <c r="R47" i="2"/>
  <c r="L47" i="2"/>
  <c r="M47" i="2"/>
  <c r="G47" i="2"/>
  <c r="H47" i="2"/>
  <c r="Q46" i="2"/>
  <c r="R46" i="2"/>
  <c r="L46" i="2"/>
  <c r="M46" i="2"/>
  <c r="G46" i="2"/>
  <c r="H46" i="2"/>
  <c r="Q45" i="2"/>
  <c r="R45" i="2" s="1"/>
  <c r="L45" i="2"/>
  <c r="M45" i="2"/>
  <c r="G45" i="2"/>
  <c r="H45" i="2"/>
  <c r="Q44" i="2"/>
  <c r="R44" i="2" s="1"/>
  <c r="L44" i="2"/>
  <c r="M44" i="2"/>
  <c r="G44" i="2"/>
  <c r="H44" i="2"/>
  <c r="Q43" i="2"/>
  <c r="R43" i="2" s="1"/>
  <c r="L43" i="2"/>
  <c r="M43" i="2"/>
  <c r="G43" i="2"/>
  <c r="H43" i="2"/>
  <c r="Q42" i="2"/>
  <c r="R42" i="2"/>
  <c r="L42" i="2"/>
  <c r="M42" i="2"/>
  <c r="G42" i="2"/>
  <c r="H42" i="2"/>
  <c r="Q41" i="2"/>
  <c r="R41" i="2" s="1"/>
  <c r="L41" i="2"/>
  <c r="M41" i="2"/>
  <c r="G41" i="2"/>
  <c r="H41" i="2"/>
  <c r="Q40" i="2"/>
  <c r="R40" i="2"/>
  <c r="L40" i="2"/>
  <c r="M40" i="2"/>
  <c r="G40" i="2"/>
  <c r="H40" i="2"/>
  <c r="L39" i="2"/>
  <c r="M39" i="2"/>
  <c r="F39" i="2"/>
  <c r="G39" i="2"/>
  <c r="H39" i="2"/>
  <c r="Q38" i="2"/>
  <c r="R38" i="2" s="1"/>
  <c r="L38" i="2"/>
  <c r="M38" i="2"/>
  <c r="G38" i="2"/>
  <c r="H38" i="2"/>
  <c r="Q36" i="2"/>
  <c r="R36" i="2"/>
  <c r="L36" i="2"/>
  <c r="M36" i="2"/>
  <c r="G36" i="2"/>
  <c r="H36" i="2"/>
  <c r="L35" i="2"/>
  <c r="M35" i="2"/>
  <c r="L34" i="2"/>
  <c r="M34" i="2"/>
  <c r="L33" i="2"/>
  <c r="M33" i="2"/>
  <c r="Q31" i="2"/>
  <c r="R31" i="2"/>
  <c r="L31" i="2"/>
  <c r="M31" i="2"/>
  <c r="G31" i="2"/>
  <c r="H31" i="2"/>
  <c r="Q30" i="2"/>
  <c r="R30" i="2"/>
  <c r="L30" i="2"/>
  <c r="M30" i="2"/>
  <c r="G30" i="2"/>
  <c r="H30" i="2"/>
  <c r="Q29" i="2"/>
  <c r="R29" i="2"/>
  <c r="L29" i="2"/>
  <c r="M29" i="2"/>
  <c r="G29" i="2"/>
  <c r="H29" i="2"/>
  <c r="Q28" i="2"/>
  <c r="R28" i="2"/>
  <c r="L28" i="2"/>
  <c r="M28" i="2"/>
  <c r="G28" i="2"/>
  <c r="H28" i="2"/>
  <c r="Q27" i="2"/>
  <c r="R27" i="2"/>
  <c r="L27" i="2"/>
  <c r="M27" i="2"/>
  <c r="G27" i="2"/>
  <c r="H27" i="2"/>
  <c r="Q26" i="2"/>
  <c r="R26" i="2" s="1"/>
  <c r="L26" i="2"/>
  <c r="M26" i="2"/>
  <c r="G26" i="2"/>
  <c r="H26" i="2"/>
  <c r="Q25" i="2"/>
  <c r="R25" i="2"/>
  <c r="G25" i="2"/>
  <c r="H25" i="2"/>
  <c r="Q24" i="2"/>
  <c r="R24" i="2"/>
  <c r="L24" i="2"/>
  <c r="M24" i="2"/>
  <c r="G24" i="2"/>
  <c r="H24" i="2"/>
  <c r="Q23" i="2"/>
  <c r="R23" i="2"/>
  <c r="L23" i="2"/>
  <c r="M23" i="2"/>
  <c r="G23" i="2"/>
  <c r="H23" i="2"/>
  <c r="Q22" i="2"/>
  <c r="R22" i="2"/>
  <c r="F22" i="2"/>
  <c r="Q21" i="2"/>
  <c r="R21" i="2"/>
  <c r="L21" i="2"/>
  <c r="M21" i="2"/>
  <c r="G21" i="2"/>
  <c r="H21" i="2"/>
  <c r="Q20" i="2"/>
  <c r="R20" i="2"/>
  <c r="L20" i="2"/>
  <c r="M20" i="2"/>
  <c r="G20" i="2"/>
  <c r="H20" i="2"/>
  <c r="Q19" i="2"/>
  <c r="R19" i="2"/>
  <c r="L19" i="2"/>
  <c r="M19" i="2"/>
  <c r="F19" i="2"/>
  <c r="Q18" i="2"/>
  <c r="R18" i="2"/>
  <c r="L18" i="2"/>
  <c r="M18" i="2"/>
  <c r="G18" i="2"/>
  <c r="H18" i="2"/>
  <c r="Q17" i="2"/>
  <c r="R17" i="2"/>
  <c r="L17" i="2"/>
  <c r="M17" i="2"/>
  <c r="G17" i="2"/>
  <c r="H17" i="2"/>
  <c r="Q16" i="2"/>
  <c r="R16" i="2" s="1"/>
  <c r="Q15" i="2"/>
  <c r="R15" i="2"/>
  <c r="L15" i="2"/>
  <c r="M15" i="2"/>
  <c r="G15" i="2"/>
  <c r="H15" i="2"/>
  <c r="Q14" i="2"/>
  <c r="R14" i="2" s="1"/>
  <c r="Q13" i="2"/>
  <c r="R13" i="2" s="1"/>
  <c r="L13" i="2"/>
  <c r="M13" i="2"/>
  <c r="F13" i="2"/>
  <c r="G14" i="2"/>
  <c r="H14" i="2"/>
  <c r="Q12" i="2"/>
  <c r="R12" i="2"/>
  <c r="L12" i="2"/>
  <c r="M12" i="2"/>
  <c r="G12" i="2"/>
  <c r="H12" i="2"/>
  <c r="Q11" i="2"/>
  <c r="R11" i="2"/>
  <c r="L11" i="2"/>
  <c r="M11" i="2"/>
  <c r="G11" i="2"/>
  <c r="H11" i="2"/>
  <c r="Q10" i="2"/>
  <c r="R10" i="2"/>
  <c r="F10" i="2"/>
  <c r="G10" i="2"/>
  <c r="H10" i="2"/>
  <c r="Q9" i="2"/>
  <c r="R9" i="2" s="1"/>
  <c r="L9" i="2"/>
  <c r="M9" i="2"/>
  <c r="G9" i="2"/>
  <c r="H9" i="2"/>
  <c r="Q8" i="2"/>
  <c r="R8" i="2"/>
  <c r="L8" i="2"/>
  <c r="M8" i="2"/>
  <c r="G8" i="2"/>
  <c r="H8" i="2"/>
  <c r="Q7" i="2"/>
  <c r="R7" i="2" s="1"/>
  <c r="L7" i="2"/>
  <c r="M7" i="2"/>
  <c r="G7" i="2"/>
  <c r="H7" i="2"/>
  <c r="Q6" i="2"/>
  <c r="R6" i="2"/>
  <c r="L6" i="2"/>
  <c r="M6" i="2"/>
  <c r="G6" i="2"/>
  <c r="H6" i="2" s="1"/>
  <c r="F5" i="2"/>
  <c r="P47" i="11"/>
  <c r="D47" i="11"/>
  <c r="C47" i="11"/>
  <c r="J47" i="11"/>
  <c r="T80" i="11"/>
  <c r="C80" i="11"/>
  <c r="O80" i="11"/>
  <c r="D80" i="11"/>
  <c r="L3" i="11"/>
  <c r="M3" i="11"/>
  <c r="Q3" i="11"/>
  <c r="R3" i="11"/>
  <c r="G3" i="11"/>
  <c r="H3" i="11"/>
  <c r="G74" i="2"/>
  <c r="H74" i="2"/>
  <c r="G5" i="2"/>
  <c r="H5" i="2"/>
  <c r="G132" i="2"/>
  <c r="H132" i="2"/>
  <c r="G170" i="2"/>
  <c r="H170" i="2"/>
  <c r="G16" i="2"/>
  <c r="H16" i="2"/>
  <c r="L154" i="2"/>
  <c r="M154" i="2"/>
  <c r="G13" i="2"/>
  <c r="H13" i="2"/>
  <c r="F130" i="2"/>
  <c r="F129" i="2"/>
  <c r="G87" i="2"/>
  <c r="H87" i="2"/>
  <c r="F4" i="2"/>
  <c r="F3" i="2"/>
  <c r="L156" i="2"/>
  <c r="M156" i="2"/>
  <c r="G146" i="2"/>
  <c r="H146" i="2"/>
  <c r="G81" i="2"/>
  <c r="H81" i="2"/>
  <c r="L14" i="2"/>
  <c r="M14" i="2"/>
  <c r="G19" i="2"/>
  <c r="H19" i="2"/>
  <c r="F103" i="2"/>
  <c r="G103" i="2"/>
  <c r="H103" i="2"/>
  <c r="G140" i="2"/>
  <c r="H140" i="2"/>
  <c r="L146" i="2"/>
  <c r="M146" i="2"/>
  <c r="F164" i="2"/>
  <c r="G164" i="2"/>
  <c r="H164" i="2"/>
  <c r="L140" i="2"/>
  <c r="M140" i="2"/>
  <c r="L164" i="2"/>
  <c r="M164" i="2"/>
  <c r="L68" i="2"/>
  <c r="M68" i="2"/>
  <c r="F82" i="2"/>
  <c r="G82" i="2"/>
  <c r="H82" i="2"/>
  <c r="U16" i="9"/>
  <c r="V17" i="9"/>
  <c r="W17" i="9"/>
  <c r="L17" i="9"/>
  <c r="M17" i="9"/>
  <c r="Q5" i="5"/>
  <c r="R5" i="5"/>
  <c r="W6" i="5"/>
  <c r="L5" i="5"/>
  <c r="M5" i="5"/>
  <c r="K47" i="11"/>
  <c r="L25" i="11"/>
  <c r="M25" i="11"/>
  <c r="P82" i="11"/>
  <c r="Q82" i="11"/>
  <c r="R82" i="11"/>
  <c r="Q83" i="11"/>
  <c r="R83" i="11"/>
  <c r="G59" i="11"/>
  <c r="H59" i="11"/>
  <c r="F80" i="11"/>
  <c r="G80" i="11"/>
  <c r="H80" i="11"/>
  <c r="P80" i="11"/>
  <c r="Q80" i="11"/>
  <c r="R80" i="11"/>
  <c r="Q59" i="11"/>
  <c r="R59" i="11"/>
  <c r="K59" i="11"/>
  <c r="K84" i="11"/>
  <c r="L84" i="11"/>
  <c r="M84" i="11"/>
  <c r="L70" i="11"/>
  <c r="M70" i="11"/>
  <c r="U84" i="11"/>
  <c r="V84" i="11"/>
  <c r="W84" i="11"/>
  <c r="V70" i="11"/>
  <c r="W70" i="11"/>
  <c r="V83" i="11"/>
  <c r="W83" i="11"/>
  <c r="Q47" i="11"/>
  <c r="R47" i="11"/>
  <c r="L83" i="11"/>
  <c r="M83" i="11"/>
  <c r="F47" i="11"/>
  <c r="G47" i="11"/>
  <c r="H47" i="11"/>
  <c r="G25" i="11"/>
  <c r="H25" i="11"/>
  <c r="U47" i="11"/>
  <c r="V47" i="11"/>
  <c r="W47" i="11"/>
  <c r="V25" i="11"/>
  <c r="W25" i="11"/>
  <c r="Q25" i="11"/>
  <c r="R25" i="11"/>
  <c r="F82" i="11"/>
  <c r="G82" i="11"/>
  <c r="H82" i="11"/>
  <c r="G83" i="11"/>
  <c r="H83" i="11"/>
  <c r="U59" i="11"/>
  <c r="P17" i="12"/>
  <c r="P20" i="12"/>
  <c r="Q15" i="12"/>
  <c r="F17" i="12"/>
  <c r="F20" i="12"/>
  <c r="G15" i="12"/>
  <c r="K17" i="12"/>
  <c r="K20" i="12"/>
  <c r="U20" i="12"/>
  <c r="G22" i="2"/>
  <c r="H22" i="2"/>
  <c r="L22" i="2"/>
  <c r="M22" i="2"/>
  <c r="L5" i="2"/>
  <c r="M5" i="2"/>
  <c r="L16" i="2"/>
  <c r="M16" i="2"/>
  <c r="L10" i="2"/>
  <c r="M10" i="2"/>
  <c r="F34" i="2"/>
  <c r="G35" i="2"/>
  <c r="H35" i="2"/>
  <c r="Q170" i="2"/>
  <c r="R170" i="2" s="1"/>
  <c r="Q164" i="2"/>
  <c r="R164" i="2" s="1"/>
  <c r="G59" i="2"/>
  <c r="H59" i="2"/>
  <c r="G68" i="2"/>
  <c r="H68" i="2"/>
  <c r="F50" i="2"/>
  <c r="G50" i="2"/>
  <c r="H50" i="2"/>
  <c r="G52" i="2"/>
  <c r="H52" i="2"/>
  <c r="L114" i="2"/>
  <c r="M114" i="2"/>
  <c r="Q81" i="2"/>
  <c r="R81" i="2" s="1"/>
  <c r="L130" i="2"/>
  <c r="M130" i="2"/>
  <c r="L115" i="2"/>
  <c r="M115" i="2"/>
  <c r="G129" i="2"/>
  <c r="H129" i="2"/>
  <c r="G162" i="2"/>
  <c r="H162" i="2"/>
  <c r="F154" i="2"/>
  <c r="G154" i="2"/>
  <c r="H154" i="2"/>
  <c r="G130" i="2"/>
  <c r="H130" i="2"/>
  <c r="L103" i="2"/>
  <c r="M103" i="2"/>
  <c r="G96" i="2"/>
  <c r="H96" i="2"/>
  <c r="G119" i="2"/>
  <c r="H119" i="2"/>
  <c r="L81" i="2"/>
  <c r="M81" i="2"/>
  <c r="L82" i="2"/>
  <c r="M82" i="2"/>
  <c r="L87" i="2"/>
  <c r="M87" i="2"/>
  <c r="Q60" i="2"/>
  <c r="R60" i="2" s="1"/>
  <c r="G104" i="2"/>
  <c r="H104" i="2"/>
  <c r="G115" i="2"/>
  <c r="H115" i="2"/>
  <c r="L66" i="2"/>
  <c r="M66" i="2"/>
  <c r="F163" i="2"/>
  <c r="G163" i="2"/>
  <c r="H163" i="2"/>
  <c r="L47" i="11"/>
  <c r="M47" i="11"/>
  <c r="F66" i="2"/>
  <c r="F58" i="2"/>
  <c r="G58" i="2"/>
  <c r="H58" i="2"/>
  <c r="G3" i="2"/>
  <c r="H3" i="2"/>
  <c r="L16" i="9"/>
  <c r="M16" i="9"/>
  <c r="V16" i="9"/>
  <c r="W16" i="9"/>
  <c r="V5" i="5"/>
  <c r="W5" i="5"/>
  <c r="P47" i="5"/>
  <c r="Q47" i="5"/>
  <c r="R47" i="5"/>
  <c r="Q19" i="5"/>
  <c r="R19" i="5"/>
  <c r="K80" i="11"/>
  <c r="L80" i="11"/>
  <c r="M80" i="11"/>
  <c r="L59" i="11"/>
  <c r="M59" i="11"/>
  <c r="V59" i="11"/>
  <c r="W59" i="11"/>
  <c r="U80" i="11"/>
  <c r="V80" i="11"/>
  <c r="W80" i="11"/>
  <c r="K82" i="11"/>
  <c r="L82" i="11"/>
  <c r="M82" i="11"/>
  <c r="U82" i="11"/>
  <c r="V82" i="11"/>
  <c r="W82" i="11"/>
  <c r="G17" i="12"/>
  <c r="H15" i="12"/>
  <c r="M15" i="12"/>
  <c r="L17" i="12"/>
  <c r="Q17" i="12"/>
  <c r="R15" i="12"/>
  <c r="G4" i="2"/>
  <c r="H4" i="2"/>
  <c r="L129" i="2"/>
  <c r="M129" i="2"/>
  <c r="G34" i="2"/>
  <c r="H34" i="2"/>
  <c r="F33" i="2"/>
  <c r="G66" i="2"/>
  <c r="H66" i="2"/>
  <c r="V19" i="5"/>
  <c r="W19" i="5"/>
  <c r="M17" i="12"/>
  <c r="L20" i="12"/>
  <c r="M20" i="12"/>
  <c r="Q20" i="12"/>
  <c r="R20" i="12"/>
  <c r="R17" i="12"/>
  <c r="H17" i="12"/>
  <c r="G20" i="12"/>
  <c r="H20" i="12"/>
  <c r="G33" i="2"/>
  <c r="H33" i="2"/>
  <c r="F32" i="2"/>
  <c r="L58" i="2"/>
  <c r="M58" i="2"/>
  <c r="F144" i="2"/>
  <c r="G32" i="2"/>
  <c r="H32" i="2"/>
  <c r="L32" i="2"/>
  <c r="M32" i="2"/>
  <c r="L172" i="2"/>
  <c r="M172" i="2"/>
  <c r="M144" i="2"/>
  <c r="G144" i="2"/>
  <c r="H144" i="2"/>
  <c r="F172" i="2"/>
  <c r="G172" i="2"/>
  <c r="H172" i="2"/>
  <c r="F145" i="2"/>
  <c r="G145" i="2"/>
  <c r="H145" i="2"/>
  <c r="F153" i="2"/>
  <c r="F173" i="2"/>
  <c r="G173" i="2"/>
  <c r="H173" i="2"/>
  <c r="G153" i="2"/>
  <c r="H153" i="2"/>
  <c r="P59" i="2" l="1"/>
  <c r="K4" i="2"/>
  <c r="T34" i="5"/>
  <c r="V21" i="5"/>
  <c r="W21" i="5" s="1"/>
  <c r="H28" i="5"/>
  <c r="G29" i="5"/>
  <c r="G27" i="5" s="1"/>
  <c r="H31" i="5"/>
  <c r="H29" i="5" s="1"/>
  <c r="L29" i="5"/>
  <c r="L27" i="5" s="1"/>
  <c r="M31" i="5"/>
  <c r="M29" i="5" s="1"/>
  <c r="Q29" i="5"/>
  <c r="Q27" i="5" s="1"/>
  <c r="Q34" i="5" s="1"/>
  <c r="J18" i="5"/>
  <c r="D53" i="9"/>
  <c r="E53" i="9"/>
  <c r="F53" i="9"/>
  <c r="J53" i="9"/>
  <c r="O53" i="9"/>
  <c r="P18" i="9"/>
  <c r="U53" i="9"/>
  <c r="V53" i="9" s="1"/>
  <c r="W53" i="9" s="1"/>
  <c r="K8" i="9"/>
  <c r="K53" i="9" s="1"/>
  <c r="P103" i="2"/>
  <c r="Q103" i="2" s="1"/>
  <c r="R103" i="2" s="1"/>
  <c r="Q104" i="2"/>
  <c r="R104" i="2" s="1"/>
  <c r="P66" i="2"/>
  <c r="Q66" i="2" s="1"/>
  <c r="R66" i="2" s="1"/>
  <c r="Q63" i="2"/>
  <c r="R63" i="2" s="1"/>
  <c r="Q59" i="2"/>
  <c r="R59" i="2" s="1"/>
  <c r="P34" i="2"/>
  <c r="P33" i="2" s="1"/>
  <c r="Q5" i="2"/>
  <c r="R5" i="2" s="1"/>
  <c r="P3" i="2"/>
  <c r="Q4" i="2"/>
  <c r="R4" i="2" s="1"/>
  <c r="V8" i="9"/>
  <c r="W8" i="9" s="1"/>
  <c r="G8" i="9"/>
  <c r="H8" i="9" s="1"/>
  <c r="Q8" i="9"/>
  <c r="R8" i="9" s="1"/>
  <c r="L53" i="9" l="1"/>
  <c r="M53" i="9" s="1"/>
  <c r="G53" i="9"/>
  <c r="H53" i="9" s="1"/>
  <c r="L4" i="2"/>
  <c r="M4" i="2" s="1"/>
  <c r="K3" i="2"/>
  <c r="L18" i="5"/>
  <c r="M18" i="5" s="1"/>
  <c r="J16" i="5"/>
  <c r="L34" i="5"/>
  <c r="M34" i="5" s="1"/>
  <c r="M27" i="5"/>
  <c r="G34" i="5"/>
  <c r="H34" i="5" s="1"/>
  <c r="H27" i="5"/>
  <c r="T47" i="5"/>
  <c r="V47" i="5" s="1"/>
  <c r="W47" i="5" s="1"/>
  <c r="V34" i="5"/>
  <c r="W34" i="5" s="1"/>
  <c r="P17" i="9"/>
  <c r="Q18" i="9"/>
  <c r="R18" i="9" s="1"/>
  <c r="L8" i="9"/>
  <c r="M8" i="9" s="1"/>
  <c r="P58" i="2"/>
  <c r="Q58" i="2" s="1"/>
  <c r="R58" i="2" s="1"/>
  <c r="Q34" i="2"/>
  <c r="R34" i="2" s="1"/>
  <c r="Q33" i="2"/>
  <c r="R33" i="2" s="1"/>
  <c r="P163" i="2"/>
  <c r="Q163" i="2" s="1"/>
  <c r="R163" i="2" s="1"/>
  <c r="Q3" i="2"/>
  <c r="R3" i="2" s="1"/>
  <c r="K163" i="2" l="1"/>
  <c r="L163" i="2" s="1"/>
  <c r="M163" i="2" s="1"/>
  <c r="K145" i="2"/>
  <c r="L3" i="2"/>
  <c r="M3" i="2" s="1"/>
  <c r="L16" i="5"/>
  <c r="M16" i="5" s="1"/>
  <c r="J19" i="5"/>
  <c r="Q17" i="9"/>
  <c r="R17" i="9" s="1"/>
  <c r="P16" i="9"/>
  <c r="P32" i="2"/>
  <c r="Q32" i="2" s="1"/>
  <c r="R32" i="2" s="1"/>
  <c r="K153" i="2" l="1"/>
  <c r="L145" i="2"/>
  <c r="M145" i="2" s="1"/>
  <c r="L19" i="5"/>
  <c r="M19" i="5" s="1"/>
  <c r="J47" i="5"/>
  <c r="L47" i="5" s="1"/>
  <c r="M47" i="5" s="1"/>
  <c r="Q16" i="9"/>
  <c r="R16" i="9" s="1"/>
  <c r="P53" i="9"/>
  <c r="Q53" i="9" s="1"/>
  <c r="R53" i="9" s="1"/>
  <c r="P144" i="2"/>
  <c r="Q144" i="2" s="1"/>
  <c r="R144" i="2" s="1"/>
  <c r="K173" i="2" l="1"/>
  <c r="L173" i="2" s="1"/>
  <c r="M173" i="2" s="1"/>
  <c r="L153" i="2"/>
  <c r="M153" i="2" s="1"/>
  <c r="P145" i="2"/>
  <c r="Q145" i="2" s="1"/>
  <c r="R145" i="2" s="1"/>
  <c r="P172" i="2"/>
  <c r="Q172" i="2" s="1"/>
  <c r="R172" i="2" s="1"/>
  <c r="P153" i="2" l="1"/>
  <c r="Q153" i="2" s="1"/>
  <c r="R153" i="2" s="1"/>
  <c r="P173" i="2" l="1"/>
  <c r="Q173" i="2" s="1"/>
  <c r="R173" i="2" s="1"/>
</calcChain>
</file>

<file path=xl/sharedStrings.xml><?xml version="1.0" encoding="utf-8"?>
<sst xmlns="http://schemas.openxmlformats.org/spreadsheetml/2006/main" count="1330" uniqueCount="843">
  <si>
    <t>Kods</t>
  </si>
  <si>
    <r>
      <rPr>
        <sz val="12"/>
        <color rgb="FF000000"/>
        <rFont val="Times New Roman"/>
        <family val="1"/>
        <charset val="186"/>
      </rPr>
      <t>Nosaukums</t>
    </r>
    <r>
      <rPr>
        <vertAlign val="superscript"/>
        <sz val="12"/>
        <color rgb="FF000000"/>
        <rFont val="Times New Roman"/>
        <family val="1"/>
        <charset val="186"/>
      </rPr>
      <t>1</t>
    </r>
  </si>
  <si>
    <t>2023.gada izpilde</t>
  </si>
  <si>
    <t>2024.gada
 plāns</t>
  </si>
  <si>
    <t>Plāns periodam no 2024. gada sākuma līdz I ceturkšņa beigām</t>
  </si>
  <si>
    <t>Izpilde periodā no 2024. gada sākuma līdz I ceturkšņa beigām</t>
  </si>
  <si>
    <t>Novirze no 2024. gada pārskata perioda plāna, euro</t>
  </si>
  <si>
    <t>Novirze no 2024. gada pārskata perioda plāna, %</t>
  </si>
  <si>
    <r>
      <t>Skaidrojumi</t>
    </r>
    <r>
      <rPr>
        <vertAlign val="superscript"/>
        <sz val="12"/>
        <rFont val="Times New Roman"/>
        <family val="1"/>
      </rPr>
      <t>2</t>
    </r>
  </si>
  <si>
    <t>Plāns periodam no 2024. gada sākuma līdz II ceturkšņa beigām</t>
  </si>
  <si>
    <t>Izpilde periodā no 2024. gada sākuma līdz II ceturkšņa beigām</t>
  </si>
  <si>
    <t>Plāns periodam no 2024. gada sākuma līdz IV ceturkšņa beigām</t>
  </si>
  <si>
    <t>Izpilde periodā no 2024. gada sākuma līdz VI ceturkšņa beigām</t>
  </si>
  <si>
    <t>A</t>
  </si>
  <si>
    <t>I   IEŅĒMUMI NO SAIMNIECISKĀS DARBĪBAS KOPĀ</t>
  </si>
  <si>
    <t>0010</t>
  </si>
  <si>
    <t>Valsts budžeta līdzekļi</t>
  </si>
  <si>
    <t>00110</t>
  </si>
  <si>
    <t>Valsts apmaksātie veselības aprūpes pakalpojumi</t>
  </si>
  <si>
    <t>Atbrīvotajās kategorijās tiek iekļautas personas ar II grupas invaliditāti, līdz ar ko pieaudzis finanšu apjoms šajā pozīcijā</t>
  </si>
  <si>
    <t>00111</t>
  </si>
  <si>
    <t xml:space="preserve">Stacionārai palīdzībai </t>
  </si>
  <si>
    <t>00112</t>
  </si>
  <si>
    <t>Pacientu iemaksas par atbrīvotajām kategorijām (stacionāram)</t>
  </si>
  <si>
    <t>00113</t>
  </si>
  <si>
    <t>Ambulatorai palīdzībai</t>
  </si>
  <si>
    <t>00114</t>
  </si>
  <si>
    <t>Pacientu iemaksas par atbrīvotajām kategorijām (ambulatorai p.)</t>
  </si>
  <si>
    <t>00120</t>
  </si>
  <si>
    <t>Valsts apmaksātie sociālie pakalpojumi</t>
  </si>
  <si>
    <t>00121</t>
  </si>
  <si>
    <t>Sociālās aprūpes pakalpojumi</t>
  </si>
  <si>
    <t>00122</t>
  </si>
  <si>
    <t>Sociālās rehabilitācijas pakalpojumi</t>
  </si>
  <si>
    <t>00130</t>
  </si>
  <si>
    <t>Ieņēmumi par izglītojošo un zinātnisko darbību</t>
  </si>
  <si>
    <t>00131</t>
  </si>
  <si>
    <t>Ieņēmumi par rezidentu apmācību</t>
  </si>
  <si>
    <t>00132</t>
  </si>
  <si>
    <t xml:space="preserve">Ieņēmumi par valsts finansēto zinātnisko darbību </t>
  </si>
  <si>
    <t>00140</t>
  </si>
  <si>
    <t>Citi ieņēmumi</t>
  </si>
  <si>
    <t>00141</t>
  </si>
  <si>
    <r>
      <t>Citi ieņēmumi (piem.reģistru uztur., retajiem medikam. utt.)</t>
    </r>
    <r>
      <rPr>
        <vertAlign val="superscript"/>
        <sz val="12"/>
        <rFont val="Times New Roman"/>
        <family val="1"/>
      </rPr>
      <t>3</t>
    </r>
  </si>
  <si>
    <t>00142</t>
  </si>
  <si>
    <r>
      <t>Valsts pārvaldes deleģēto uzdevumu veikšana</t>
    </r>
    <r>
      <rPr>
        <vertAlign val="superscript"/>
        <sz val="12"/>
        <rFont val="Times New Roman"/>
        <family val="1"/>
      </rPr>
      <t>4</t>
    </r>
    <r>
      <rPr>
        <sz val="12"/>
        <rFont val="Times New Roman"/>
        <family val="1"/>
      </rPr>
      <t xml:space="preserve"> Bezmaksas medikamenti</t>
    </r>
  </si>
  <si>
    <t>0020</t>
  </si>
  <si>
    <t>Ieņēmumi no pašvaldības budžeta</t>
  </si>
  <si>
    <t>0021</t>
  </si>
  <si>
    <t>Veselības aprūpes pakalpojumiem</t>
  </si>
  <si>
    <t>0022</t>
  </si>
  <si>
    <t>Sociāliem pakalpojumiem</t>
  </si>
  <si>
    <t>0030</t>
  </si>
  <si>
    <t>Uzņēmuma nopelnītie līdzekļi</t>
  </si>
  <si>
    <t>EKK kodā 00313 tiek uzrādīti pētījuma projekta ieņēmumi par pacientu vizītēm, transportēšanu un procedurām.</t>
  </si>
  <si>
    <t>Nomas maksas ieņēmumi atkarīgi no nomnieku patērētajiem komunālajiem pakalpojumiem.</t>
  </si>
  <si>
    <t>00311</t>
  </si>
  <si>
    <t>Maksas veselības aprūpes pakalpojumi</t>
  </si>
  <si>
    <t>00312</t>
  </si>
  <si>
    <t>Maksas sociālie pakalpojumi</t>
  </si>
  <si>
    <t>00313</t>
  </si>
  <si>
    <t>Pārējie saimnieciskās darbības ieņēmumi</t>
  </si>
  <si>
    <t>00314</t>
  </si>
  <si>
    <t>Ieņēmumi no nomas</t>
  </si>
  <si>
    <t>0040</t>
  </si>
  <si>
    <t>Saņemtās pacientu iemaksas (stacionāram)</t>
  </si>
  <si>
    <t>0050</t>
  </si>
  <si>
    <t>Saņemtās pacientu iemaksas (ambulatorai p.)</t>
  </si>
  <si>
    <t>0060</t>
  </si>
  <si>
    <t>Ziedojumi</t>
  </si>
  <si>
    <t>0070</t>
  </si>
  <si>
    <t>Pacienta līdzmaksājums par operāciju</t>
  </si>
  <si>
    <t>0080</t>
  </si>
  <si>
    <t>Citi ieņēmumi (Ieņēmumi no bez atlīdzības saņemtajām precēm u.tml.)</t>
  </si>
  <si>
    <t>Noslēgts pētījuma līgums ar c/o PAREXEL International (IRL) Limited</t>
  </si>
  <si>
    <t>B</t>
  </si>
  <si>
    <t>II  IZDEVUMI SAIMNIECISKĀS DARBĪBAS NODROŠINĀŠANAI KOPĀ</t>
  </si>
  <si>
    <t>1000</t>
  </si>
  <si>
    <t>ATLĪDZĪBA</t>
  </si>
  <si>
    <t>Atalgojums - kopā</t>
  </si>
  <si>
    <t>Mēneša amatalga</t>
  </si>
  <si>
    <t>Mēneša amatalga valdei</t>
  </si>
  <si>
    <t>Mēneša amatalga padomei</t>
  </si>
  <si>
    <t>Mēneša amatalga pārējiem darbiniekiem</t>
  </si>
  <si>
    <t>Piemaksas, prēmijas un naudas balvas</t>
  </si>
  <si>
    <t xml:space="preserve">	1142- 2024.gada I-II cet. nostrādāto virsstundu skaits samazinājies par 10.61%, t.i. 5133 stundām. Nostrādāto virsstundu skaitu izdevies samazināt piesaistot papildus darbiniekus. 1148 - 2024.gada maijā izmaksātas prēmijas Māsu dienā vidējam un jaunākajam medicīnas personālam. 2024.gada jūnijā izmaksāta naudas balva saimniecības pārzinei izbeidzot darba attiecības kā pateicību par 28 nostrādātiem gadiem slimnīcā.</t>
  </si>
  <si>
    <t>Darbinieku motivēšana</t>
  </si>
  <si>
    <t>Piemaksa par nakts darbu</t>
  </si>
  <si>
    <t>Samaksa par virsstundu darbu un darbu svētku dienās</t>
  </si>
  <si>
    <t>Piemaksa par izdienu</t>
  </si>
  <si>
    <t>Piemaksa par darbu īpašos apstākļos, speciālās piemaksas</t>
  </si>
  <si>
    <t>Piemaksa par personisko darba ieguldījumu un darba kvalitāti</t>
  </si>
  <si>
    <t>Piemaksa par papildu darbu</t>
  </si>
  <si>
    <t>Prēmijas un naudas balvas</t>
  </si>
  <si>
    <t>Citas normatīvajos aktos noteiktās piemaksas, kas nav iepriekš klasificētas</t>
  </si>
  <si>
    <t>Atalgojums fiziskajām personām uz tiesiskās attiecības regulējošu dokumentu pamata</t>
  </si>
  <si>
    <t>2024.gada I cet. uz UL pamata piesaistīti darbinieki (pārējais personāls), kuri aizvieto trūkstošos darbiniekus - apkopēji, garderobisti, sanitāri, veļas komplektētājs un sterilizācijas tehniskie darbinieki.</t>
  </si>
  <si>
    <t>2024.gada I pusgadā piesaistīti darbinieki nodaļās uz uzņēmuma līguma pamata, kurās grūtības atrast pastāvīgus darbiniekus. 2024.gada I pusgadā piesaistīti apkopēji, sterilizācijas tehniskie darbinieki, palīgstrādnieki, lifta operatori, garderobisti.</t>
  </si>
  <si>
    <t>Darba devēja piešķirtie labumi un maksājumi</t>
  </si>
  <si>
    <t>Darba devēja valsts sociālās apdrošināšanas obligātās iemaksas, sociāla rakstura pabalsti un kompensācijas</t>
  </si>
  <si>
    <t>Darba devēja valsts sociālās apdrošināšanas obligātās iemaksas</t>
  </si>
  <si>
    <t>Darba devēja pabalsti, kompensācijas un citi maksājumi</t>
  </si>
  <si>
    <t>2024.gada I cet. plāns sastādīts ņemot vērā 2023.gada I  cet. izpildi. 2024.gada I cet. slimošanas ilgums (darbnespējas lapas A) samazinājies par 18,3% salīdzinot ar 2023.gada I cet.</t>
  </si>
  <si>
    <t>1221- 2024.gada I pusgadā samazinājies darbnespējas lapu A skaits par 5.81% (t.i. 19 slimības lapas) un slimošanas ilgums par 6.84% (t.i. par 123 dienām). 1228 - 2024.gada I pusgadā kompensāciju par redzes korekcijas līdzekļu iegādi ir pieprasījuši 7 darbinieki.</t>
  </si>
  <si>
    <t>2024.gada I-IV cet. palielinājies pieprasījums no darbiniekiem par redzes korekcijas līdzekļu iegādi. 2024.gadā kompensāciju par briļļu iegādi pieprasījuši 17 cilvēki.</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</si>
  <si>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</si>
  <si>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</si>
  <si>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</si>
  <si>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</si>
  <si>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Darba devēja pabalsti un kompensācijas, no kā neaprēķina iedzīvotāju ienākuma nodokli un valsts sociālās apdrošināšanas obligātās iemaksas</t>
  </si>
  <si>
    <t>PRECES UN PAKALPOJUMI</t>
  </si>
  <si>
    <t>Mācību, darba un dienesta komandējumi, darba braucieni</t>
  </si>
  <si>
    <t>Iekšzemes mācību, darba un dienesta komandējumi, dienesta, darba braucieni</t>
  </si>
  <si>
    <t>Dienas nauda</t>
  </si>
  <si>
    <t>Pārējie komandējumu un darba braucienu izdevumi</t>
  </si>
  <si>
    <t>2024. gadā darbiniekiem segta dalības maksa dažādos kvalifikācijas celšanas kursos. ( AO trauma, Traumatologu kongresā Orlando, Minimālās higiēnas prasības pārtikas uzņēmumā, Intensive care fund.) Pārējie komandējumu un darba braucienu izdevumi tika plānoti EKK 2122.</t>
  </si>
  <si>
    <t>Ārvalstu mācību, darba un dienesta komandējumi, dienesta, darba braucieni</t>
  </si>
  <si>
    <t>2024.gada I-IVcet. izdevumi par ārvalstu mācībām, darba un dienesta komandējumiem, dienesta, darba braucieniem tika izmantoti mazāk nekā sākotnēji plānots.</t>
  </si>
  <si>
    <t>Pakalpojumi</t>
  </si>
  <si>
    <t>Izdevumi par sakaru pakalpojumiem</t>
  </si>
  <si>
    <t>Izdevumi par komunālajiem pakalpojumiem</t>
  </si>
  <si>
    <t>2024.gada I cet. faktiskie izdevumi par komunālajiem pakalpojumiem ir mazāki nekā plānots. Salīdzinot ar plānu izdevumi par siltumenerģiju mazāki par 81831 eiro. Faktiskie izdevumi par siltumenerģiju 2023.gada I cet. bija 247815.89 eiro, salīdzinot ar 2024.gada I cet. samazinājusies cena par 1 Mwh (2023. gada I cet. cena par 1 Mwh 183.86 eiro, savukārt 2024.gada I cet. cena par 1 Mwh 87.57 eiro).</t>
  </si>
  <si>
    <t>Salīdzinot ar plānu 2024.gada I pusgadā izdevumi par komunālajiem pakalpojumiem  samazinājušies par 23,9%. 2024.gadā samazinājusies siltumenerģijas cena - 2023.gada janvārī cena par 1 MWh 183,86 eiro, savukārt 2023.gada janvāri cena par 1 MWh 87,52 eiro.</t>
  </si>
  <si>
    <t>2024.gada I-IVcet. izdevumi par komunālajiem pakalpojumiem samazinājušies par 137 734 eiro - būtiskākais samazinājums salīdzinot ar plānu ir izdevumiem par siltumenerģiju. Sastādot plānu tika ņemti vērā 2023.gada I-IV cet. izdevumi. 2024.gada I-IV cet. samazinājies centrālapkures patēriņš par 36.2% salīdzinot ar plānu, kā arī samazinājusies cena par 1 MWh (2023.gada decembrī 1 MWh siltums maksāja 87.57 eiro, savukārt 2024.gada decembrī 1 MWh siltums maksāja 82,63 eiro).</t>
  </si>
  <si>
    <t>Izdevumi par siltumenerģiju</t>
  </si>
  <si>
    <t>Izdevumi par ūdeni un kanalizāciju</t>
  </si>
  <si>
    <t>Izdevumi par elektroenerģiju</t>
  </si>
  <si>
    <t>Izdevumi par atkritumu savākšanu, izvešanu no apdzīvotām vietām un teritorijām ārpus apdzīvotām vietām un atkritumu utilizāciju</t>
  </si>
  <si>
    <t>Izdevumi par pārējiem komunālajiem pakalpojumiem</t>
  </si>
  <si>
    <t>Iestādes administratīvie izdevumi un ar iestādes darbības nodrošināšanu
 saistītie izdevumi</t>
  </si>
  <si>
    <t xml:space="preserve">
Salīdzinot ar plānu 2024.gada I cet. palielinājušies administratīvie izdevumi saistībā ar iestādes uzturēšanu. 2233 - salīdzinot ar plānu palielinājušies izdevumi par transporta pakalpojumu izmantošanu (specializētā medicīniskā transporta izmantošana pacientu pārvešanai). 2235 - 2024.gada I cet. organizētas apmācības medicīnas personālam par pacientu aprūpi 2381.61 eiro apmērā un pārējam personālam kursi - par projektu vadību, pacientu drošību 472.19 eiro apmērā. 2239 - salīdzinot ar plānu izdevumi par veļas mazgāšanu palielinājušies par 1059 eiro, izdevumi par pārējiem medicīnas pakalpojumiem palielinājušies par 4208 eiro, izdevumi par apsardzes pakalpojumiem palielinājušies par 780 eiro, citi vadīšanas izdevumi palielinājušies par 1485 eiro.
</t>
  </si>
  <si>
    <t>2233 - 2024.gada I pusgadā palielinājušies izdevumi par transporta pakalpojumiem. Izdevumi par preču piegādi palielinājušies par 580 eiro (galvenokārt izdevumus sastāda sašķidrinātās gāzes piegāde - 676,23 eiro, pārējās izmaksas ir  par preču vai medikamentu piegādi). Izdevumi par specializētā medicīniskā transporta izmantošanu I pusgadā sastāda 10495,48 eiro lielas izmaksas. 2235 - izdevumi par saņemtajiem mācību pakalpojumiem  I pusgadā palielinājušies par 2204 eiro. Medicīnas personāls  I pusgadā apmeklējis kursus par neatliekamo medicīnisko palīdzību, tranfuzioloģijas pamatus, pacientu aprūpe ar izgulējumiem, personas datu aizsardzība ārstniecības procesā (kopējās kursu izmaksas sastāda 3716,36 eiro). Pārejam personālam, tika nodrošinātas apmācības par pacientu drošību, integrēto projektu vadību, lietišķo saskarsmi un etiķeti (kopējās kursu izmaksas sastāda 472,19 eiro). 2239 - 2024.gada I pusgadā pieaugušas izmaksas veļas mazgāšanas pakalpojumiem par 2863 eiro, apsardzes pakalpojumiem par 2022 eiro, pārējiem medicīnas pakalpojumiem( laboratorijas pakalpojumi, Valsts asins donora centra pakalpojumi, Magnētiskās rezonanses pakalpojumi, u.c.) par 14260 eiro.  I pusgadā samazinājušās izmaksas citiem administrācijas izdevumiem (ūdens kvalitātes noteikšana, maksa par sludinājumu izvietošanu, akreditācijas, u.c.) par 3141 eiro un pārējie saimnieciskās darbības izdevumi par 4590 eiro (ūdens kvalitātes noteikšana, GPS sistēma, pakalpojumi par rezidentu apmācību).</t>
  </si>
  <si>
    <t xml:space="preserve">2233- 2024.gada I-IV cet.būtiski palielinājušies izdevumi par pacientu transportēšanu, jo Slimnīca noslēgusi pētījuma līgumu ar c/o PAREXEL International (IRL) Limited, kas paredz pacientu transportēšanu līguma ietvaros. </t>
  </si>
  <si>
    <t>Izdevumi iestādes sabiedrisko aktivitāšu īstenošanai</t>
  </si>
  <si>
    <t>Izdevumi par profesionālās darbības pakalpojumiem</t>
  </si>
  <si>
    <t>Izdevumi par transporta pakalpojumiem</t>
  </si>
  <si>
    <t>Normatīvajos aktos noteiktie veselības un fiziskās sagatavotības pārbaudes izdevumi</t>
  </si>
  <si>
    <t>Izdevumi par saņemtajiem mācību pakalpojumiem</t>
  </si>
  <si>
    <t>Maksājumu pakalpojumi un komisijas</t>
  </si>
  <si>
    <t>Pārējie neklasificētie pakalpojumi</t>
  </si>
  <si>
    <t>Remontdarbi un iestāžu uzturēšanas pakalpojumi (izņemot kapitālo remontu)</t>
  </si>
  <si>
    <t>2242 - 2024.gada I cet. slimnīcas īpašumā esošajām automašīnām veikta ziemas riepu nomaiņa. 2043 - 2024. gada I cet. plāns sastādīts ņemot vērā 2023.gada I cet. izpildi(27536.30 eiro). Salīdzinot faktiskos izdevumus ar plānotajiem, tie samazinājušies - I cet. ir samazinājies pieprasījums/nepieciešamība labot vai apkopt esošas iekārtas, jo tās ir ejošā darba kārtībā, piemēram 2023.gada I cet. veikta tehniskā apkope Tvaika sterilizatoriem, bet 2024.gadā šāds pakalpojums nav saņemts. 2244 - 2024.gada I cet. veikti ugunsdzēsības aparātu pārbaudes un apkopes darbi 960.45 eiro apmērā 2244 - palielinājušies apdrošināšanas izdevumi ēku, automašīnu apdrošināšanai, jo apdrošinātāji ir palielinājuši pakalpojuma cenu. 2249 - 2024.gadā plānots veikt remontarbus iestādes uzturēšanai, kuri tika atlikti 2023.gadā. 2024.gada Icet. plāns nav izpildīts.</t>
  </si>
  <si>
    <t>2242 - 2024.gada I pusgadā slimnīcas īpašumā esošajām automašīnām bija nepieciešams veikts remontu / apkopi (kopējās izmaksas par 2 automašīnu remontu sastāda 1747 eiro). 2243 - plāns sastādīts ņemot vērā iepriekšējā gada konkrētā perioda izmaksas iekārtu remontam un apkalpošanai (faktiskā izpilde 2023.gada I pusgadā 93259,81 eiro). Saimniecisko iekārtu tehnisko apkopju un remontu izmaksas salīdzinot ar 2023.gada I pusgadu ir samazinājušās par 3520 eiro, savukārt medicīnisko iekārtu apkopju un remontu izmaksas samazinājušās par 16482 eiro.  2249 - 2024.gadā plānots veikt remontdarbus iestādes uzturēšanai, kuri tika atlikti 2023.gadā. 2024.gada I pusgadā plāns nav izpildīts.</t>
  </si>
  <si>
    <t>2241 -  2024. gada I-IV cet. palielinājušies izdevumi ēku, būvju un telpu būvdarbiem, kas sākotnēji tika plānoti kodā 2249.                                                                                                       2242 - 2024. gada I-IV cet. palielinājušies izdevumi par transportlīdzekļu uzturēšanu un remontu. 2024.gada I-IVcet. ir veikta tehniskā apkope un remonts slimnīcas īpašumā esošajām automašīnām. Tehniskās apkopes un remonta izdevumi 2024.gada I-IV cet. sastāda 3312 eiro.                                                                 2249 -    2024. gada I-IV cet. samazinājušies izdevumi pārējiem remontdarbiem un iestādes uzturēšanas pakalpojumiem. Precizējot izdevumus, grāmatojumi veikti kodā 2241.                                                                                                                                                                                                                      2024.gada I-IIV plāns izpildīts, jo kopējā novirze 0.7%.</t>
  </si>
  <si>
    <t>Ēku, būvju un telpu būvdarbi</t>
  </si>
  <si>
    <t>Transportlīdzekļu uzturēšana un remonts</t>
  </si>
  <si>
    <t>Iekārtas, inventāra un aparatūras remonts, tehniskā apkalpošana</t>
  </si>
  <si>
    <t xml:space="preserve">Nekustamā īpašuma uzturēšana </t>
  </si>
  <si>
    <t>Apdrošināšanas izdevumi</t>
  </si>
  <si>
    <t>Pārējie remontdarbu un iestāžu uzturēšanas pakalpojumi</t>
  </si>
  <si>
    <t>Informācijas tehnoloģiju pakalpojumi</t>
  </si>
  <si>
    <t>Īre un noma</t>
  </si>
  <si>
    <t>Ēku, telpu īre un noma</t>
  </si>
  <si>
    <t>Transportlīdzekļu noma</t>
  </si>
  <si>
    <t>Zemes noma</t>
  </si>
  <si>
    <t>Iekārtu, aparatūras un inventāra īre un noma</t>
  </si>
  <si>
    <t>Pārējā noma</t>
  </si>
  <si>
    <t>Pārējie pakalpojumi</t>
  </si>
  <si>
    <t>Izdevumi, kas saistīti ar operatīvo darbību</t>
  </si>
  <si>
    <t>Izdevumi par tiesvedības darbiem</t>
  </si>
  <si>
    <t>Maksa par zinātniskās pētniecības darbu izpildi</t>
  </si>
  <si>
    <t>Ar brīvprātīgā darba veikšanu saistītie izdevumi</t>
  </si>
  <si>
    <t>Izdevumi juridiskās palīdzības sniedzējiem un zvērinātiem tiesu izpildītājiem</t>
  </si>
  <si>
    <t>Maksājumi par parāda apkalpošanu un komisijas maksas par izmantotajiem atvasinātajiem finanšu instrumentiem</t>
  </si>
  <si>
    <t>2024.gada I cet. palielinājies atgūto parādu lietu skaits (2023.gada I cet. 214 lietas, 2024.gada I cet. 303 lietas).</t>
  </si>
  <si>
    <t>2024.gada I pusgadā palielinājies piedzīto lietu (parādu) skaits. 2023.gada I pusgadā 270 lietas, savukārt 2024.gada I pusgadā 692 lietas.</t>
  </si>
  <si>
    <t>2024.gada I-IV cet. palielinājies atgūto lietu skaits par neapmaksātajiem, kavētajiem rēķiniem. 2024.gada I-IV cet. atgūtas par 723 lietām vairāk nekā iepriekšējā gada tajā pašā periodā.</t>
  </si>
  <si>
    <t>Krājumi, materiāli, energoresursi, preces, biroja preces un inventārs, kurus neuzskaita kodā 5000</t>
  </si>
  <si>
    <t>Izdevumi par dažādām precēm un inventāru</t>
  </si>
  <si>
    <t>2311 - 2024. gada I cet. palielinājušies izdevumi par veidlapu iegādi (iepirktas veidlapas medicīnas procesu nodrošināšanai) par 842 eiro. 2312 - 2024.gada I cet. palielinājušies izdevumi inventārā iegādei - cenu pieaugums precēm. 2313 - 2024.gada I cet. iegādāti aizsarpārvarkli inventāram, kurus izmanto pacientu aprūpei par 234 eiro un apģērbs med. personālam par 1272 eiro.</t>
  </si>
  <si>
    <t>2311 - 2024.gada I pusgadā palielinājušies izvedumi par medicīnas procesā nepieciešamo veidlapu iegādi (2023.gada I pusgads 1822 eiro, savukārt 2024.gada I pusgads 2785,20 eiro). 2312 - 2024.gada I pusgadā pieaugušās izmaksas inventāra iegādei (2023.gada I pusgadā faktiskie iedevumi 23103,80 eiro). Salīdzinot ar plānu izmaksu pieaugumu ietekmējusi inflācija(piemēram 2023.gadā tualetes papīra lielais rullis maksāja 0.93 centus, savukārt 2024.gadā rullis maksā 1,15 eiro bez PVN).</t>
  </si>
  <si>
    <t>2024.gada I-IV cet. salīdzinot ar plānu samazinājušies faktiskie iedevumi par iegādātajām precēm un inventāru. Galvenokārt samazinājušies izdevumi par darba aizsardzības līdzekļu iegādi. Darba aizsardzības līdzekļu iegāde tiek nodrošināta pēc darbinieku pieprasījuma ņemot vērā esošos atlikumus. 2024.gada I-IV cet. pieprasījuma par specializēta darba apģērba iegādi ir samazinājies.</t>
  </si>
  <si>
    <t>Biroja preces</t>
  </si>
  <si>
    <t>Inventārs</t>
  </si>
  <si>
    <t>Darba aizsardzības līdzekļi</t>
  </si>
  <si>
    <t>Izdevumi par precēm iestādes sabiedrisko aktivitāšu īstenošanai</t>
  </si>
  <si>
    <t>Kurināmais un enerģētiskie materiāli</t>
  </si>
  <si>
    <t xml:space="preserve">2024.gada I pusgadā palielinājies iztērētās degvielas apjoms. </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</si>
  <si>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</si>
  <si>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</si>
  <si>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</si>
  <si>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</si>
  <si>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</si>
  <si>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</si>
  <si>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Asins iegāde</t>
  </si>
  <si>
    <t>Medicīnas preces un instrumenti, laboratorijas dzīvnieki un to uzturēšana</t>
  </si>
  <si>
    <t>Iestāžu uzturēšanas materiāli un preces</t>
  </si>
  <si>
    <t xml:space="preserve">2024.gada I cet. daudzus remontdarbus iespēju robežās veic saimniecības daļas darbinieki, lai taupītu līdzekļu par pakapojumiem. 2024.gada I cet. iepirkti materiāli, lai salabotu bojātas slēdzes, jaucējkrānus, rokturus u.c. </t>
  </si>
  <si>
    <t xml:space="preserve">2024.gadā I pusgadā, lai taupītu līdzekļus piesaistot ārpkalpojojumu, saimiecības daļa cenšas veikt remontdarbus pašu spēkiem (iegādātas slēdzenes, krāni, skrūves, rokturi, plāksnes u,c. materiāli). </t>
  </si>
  <si>
    <t>2024. gada I-IV cet. iespēju robežās remontdarbus nodrošina saimniecības daļas darbinieki. Salīdzinot I-IV faktisko izpildi ar plānu palielinājušies izdevumi materiālu iegādei. 2024.gada I-IV attiecīgi samazinājušies izdevumi kodā 2249, jo ņemot vērā pieejamos finanšu resursus netiek ņemti ārpakalpojumi remontdarbu veikšanai.</t>
  </si>
  <si>
    <t>Valsts un pašvaldību aprūpē, apgādē un dienestā (amatā) esošo personu uzturēšana</t>
  </si>
  <si>
    <t>2361 - 2024.gada I cet. mīkstā inventārā atjaunošanai salīdzinot ar plānu iztērēts mazāk, jo inventārs tiek atjaunots tikai tādā gadījumā ja iepriekšējais vairs nav lietojams. 2362 - 2024.gada plāns sastādīts ņemot vērā 2023.gada I cet. izdevumus un iepirkumus, lai atjaunotu bojātos traukus. 2024. I cet. nav bijusi nepieciešamība atjaunot bojātos vai nolietotos traukus, kas tiek izmantoti pacientu ēdināšanai klīniskajās nodaļās, jo 2023.gada I cet. nodaļās tika atjaunoti trauki 663 eiro apmērā.</t>
  </si>
  <si>
    <t xml:space="preserve">
2361 - 2024.gada I pusgadā iegādāts jauns inventārs nolietotā vietā, piemēram, radioloģijas nodaļā iegādāti jauni krēsli. 2362 - 2024.gada plāns sastādīts ņemot vērā 2023.gada I pusgada izdevumus un iepirkumus, lai atjaunotu bojātos traukus. 2024. gada I pusgadā nav bijusi nepieciešamība atjaunot bojātos vai nolietotos traukus, kas tiek izmantoti pacientu ēdināšanai klīniskajās nodaļās, jo 2023.gada I cet. nodaļās tika atjaunoti trauki 663 eiro apmērā.
</t>
  </si>
  <si>
    <t>2361 - salīdzinot ar plānu 2024.gada I-IV cet. palielinājušies izdevumi par mīkstā inventārā iegādi, savukārt 2362 - izdevumi par virtuves inventāra, trauku un galda piederumu iegādi samazinājušies par 212 eiro. Inventāra nomaiņu veic pamatojoties uz atbildīgas personas pieprasījumu, kā piemēram 2024.gada I-IIVcet. ir nomainītas nolietotās žalūzijas, logos ievietoti pretninsektu tīkli, lai uzlabotu pacientu drošību un apstākļus palātās.</t>
  </si>
  <si>
    <t>Mīkstais inventārs</t>
  </si>
  <si>
    <t>Virtuves inventārs, trauki un galda piederumi</t>
  </si>
  <si>
    <t>Ēdināšanas izdevumi</t>
  </si>
  <si>
    <t>Formas tērpi un speciālais apģērbs</t>
  </si>
  <si>
    <t>Apdrošināšanas izdevumi veselības, dzīvības un nelaimes gadījumu apdrošināšanai</t>
  </si>
  <si>
    <t>Pārējie valsts un pašvaldību aprūpē un apgādē esošo personu uzturēšanas izdevumi, kuri nav minēti citos koda 2360 apakškodos</t>
  </si>
  <si>
    <t>Mācību līdzekļi un materiāli</t>
  </si>
  <si>
    <t>Specifiskie materiāli un inventārs</t>
  </si>
  <si>
    <t>Pārējās preces</t>
  </si>
  <si>
    <t>Nodokļu, nodevu un sankciju maksājumi</t>
  </si>
  <si>
    <t>Nodokļu un nodevu maksājumi</t>
  </si>
  <si>
    <t>Nekustamā īpašuma nodoklis 2023. gadā tika pārrēķināts par trim gadiem, sekojoši ēku platības vai to daļu (telpu), kuras izmanto izglītības, veselības, sociālās aprūpes vajadzībām, kuras netiek apliktas ar nekustamā īpašuma nodokli palielinājās. 2024. gada periodā iznomāto telpu platību mazāk – aprēķinātais nodoklis mazāks</t>
  </si>
  <si>
    <t>Pievienotās vērtības nodokļa maksājumi</t>
  </si>
  <si>
    <t>Nekustamā īpašuma nodokļa maksājumi</t>
  </si>
  <si>
    <t>Iedzīvotāju ienākuma nodoklis (no maksātnespējīgā darba devēja darbinieku prasījumu summām)</t>
  </si>
  <si>
    <t>Dabas resursu nodokļa maksājumi</t>
  </si>
  <si>
    <t>Valsts sociālās apdrošināšanas  obligātās iemaksas (no maksātnespējīga darba devēja darbinieku prasījumu summām)</t>
  </si>
  <si>
    <t>Uzņēmējdarbības riska valsts nodeva</t>
  </si>
  <si>
    <t>Pārējie pārskaitītie nodokļi un nodevas</t>
  </si>
  <si>
    <t>Maksājumi par budžeta iestādēm piemērotajām sankcijām</t>
  </si>
  <si>
    <t>Pakalpojumi, kurus budžeta iestādes apmaksā noteikto funkciju ietvaros, kas nav iestādes administratīvie izdevumi</t>
  </si>
  <si>
    <t>PROCENTU IZDEVUMI</t>
  </si>
  <si>
    <t>Procentu maksājumi ārvalstu un starptautiskajām finanšu institūcijām</t>
  </si>
  <si>
    <t>Procentu maksājumi iekšzemes kredītiestādēm</t>
  </si>
  <si>
    <t>Pārējie procentu maksājumi</t>
  </si>
  <si>
    <t>C</t>
  </si>
  <si>
    <t>KOPĀ IZDEVUMI</t>
  </si>
  <si>
    <t>D</t>
  </si>
  <si>
    <t>PEĻŅA PIRMS AMORTIZĀCIJAS UN PĀRĒJIEM IEŅĒMUMIEM</t>
  </si>
  <si>
    <t>Nolietojums</t>
  </si>
  <si>
    <t>Nemateriālo ieguldījumu nolietojums</t>
  </si>
  <si>
    <t>Pamatlīdzekļu nolietojums</t>
  </si>
  <si>
    <t>Pamatlīdzekļu nolietojums (bez administrācijas un ēdināšanas izmaksām)</t>
  </si>
  <si>
    <t>Administratīvās daļas pamatlīdzekļu nolietojums</t>
  </si>
  <si>
    <t>Pamatlīdzekļu nolietojums, kas saistīts ar ēdināšanas nodrošināšanu</t>
  </si>
  <si>
    <t>Ieņēmumos ieskaitītās dotācijas, dāvinājumi atbilstoši dāvināto pamatlīdzekļu nolietojumam par pārskata periodu</t>
  </si>
  <si>
    <t>E</t>
  </si>
  <si>
    <t>PEĻŅA PIRMS PĀRĒJIEM IEŅĒMUMIEM, IZDEVUMIEM UN ĀRKĀRTAS IEŅĒMUMIEM</t>
  </si>
  <si>
    <t>0100</t>
  </si>
  <si>
    <t>III  PĀRĒJIE IEŅĒMUMI</t>
  </si>
  <si>
    <t xml:space="preserve">0110- par noguldījumiem bankas kontā tiek aprēķināta noguldījuma procentu likme 1.5% apmērā. 0120 - 2023.gadā tika plānotas ka mazināsies rēķinu apmaksas kavējumi, taču faktiski apmaksas tāpat kavējās, līdz ar to pacienti maksā soda naudu. </t>
  </si>
  <si>
    <t xml:space="preserve"> </t>
  </si>
  <si>
    <t xml:space="preserve">0110 - 2024.gada I-IV cet. palielinājušies ieņēmumi par depozītnoguldījumiem, jo 2024.gada jūnijā no Valsts kases konta veikts naudas pārvedums un Citadeli. Par kontā esošo noguldījuma summu, tiek aprēķināti procenti (patreiz 1.5%).             </t>
  </si>
  <si>
    <t>0110</t>
  </si>
  <si>
    <t>Depozītnoguldījumi</t>
  </si>
  <si>
    <t>0120</t>
  </si>
  <si>
    <t>Saņemtās soda naudas</t>
  </si>
  <si>
    <t>0130</t>
  </si>
  <si>
    <t>Ieņēmumi no pārdotiem materiāliem un pamatlīdzekļiem</t>
  </si>
  <si>
    <t>0140</t>
  </si>
  <si>
    <t>Atmaksātās mācību maksas</t>
  </si>
  <si>
    <t>0150</t>
  </si>
  <si>
    <t xml:space="preserve">Ieņēmumi no pamatlīdzekļu izslēgšanas </t>
  </si>
  <si>
    <t>0170</t>
  </si>
  <si>
    <t>Ieņēmumuos ieskaitītās pārvērtēšanas rezerves samazinājums</t>
  </si>
  <si>
    <t>0180</t>
  </si>
  <si>
    <t>Finansējums valsts galvotā aizdevuma saistību atmaksas nodrošināšanai</t>
  </si>
  <si>
    <t>0190</t>
  </si>
  <si>
    <t>2024.gada I pusgadā faktiskie ieņēmumi ir mazāki nekā plānots gada sākumā.</t>
  </si>
  <si>
    <t>0190-2024. gada I-IV cet.atmaksātas pārrēķinātās  VSAOI iemaksas no Valsts ieņēmumu dienesta par  2023. gadu-19386.22 eur.</t>
  </si>
  <si>
    <t>F</t>
  </si>
  <si>
    <t>III IEŅĒMUMI PAVISAM (I+III)</t>
  </si>
  <si>
    <t>IV  PĀRĒJIE IZDEVUMI</t>
  </si>
  <si>
    <t>8300- 2024.gada I cet. plāns sastādīts ņemot vērā 2023.gada I cet. izdevumus. 2023.gada I cet. nav norakstīti pamatlīdzekļi, kuriem bija atlikusī vērtība.  8800 - 2024.gada I cet. palielinājušies izdevumi stipendiju izmaksai medicīnas programmas studentiem. Lai nodrošinātu trūkstošo personu 2024.gada I. cet. stipendijas izmaksa tiek nodrošināta fizioterapijas, māszinību studiju programmas studentiem un vertebroloģijas, laboratorijas ārsta rezidentūras studentiem.</t>
  </si>
  <si>
    <t>8100 - plāns sastādīts ņemot vērā 2023.gada I pusgada faktisko izpildi. 2024.gadā nav veikti iepirkumi citu valstu valūtā. 8300 - 2024.gada I pusgadā likvidēts 15 gab. pamatlīdzekļi, kuri vairs nebija lietojami ar mazu atlikušo vērtību (ledusskapis, austiņas, rakstāmgalds, krēsls u.c.). 8800 - 2024.gada I pusgadā palielinājušies izdevumi stipendiju izmaksai medicīnas programmas studentiem. Lai nodrošinātu trūkstošo personu 2024.gada I pusgadā stipendijas izmaksa tiek nodrošināta fizioterapijas, māszinību studiju programmas studentiem un vertebroloģijas, laboratorijas ārsta rezidentūras studentiem.</t>
  </si>
  <si>
    <t xml:space="preserve">8100 - 2024.gada I-IV cet. plāns sastādīts ņemot vērā iepriekšēja gada I-IV cet. izpildi. 2023.gada I-IV cet. bija pasūtītas preces operāciju blokam, kur norēķins tika veikts dolāros. 2024.gada I-IIVcet. nav veikti pirkumi, kuriem būtu nepieciešama valūtas konvertācija. 8300 - 2024.gada I-IV cet. plāns sastādīts ņemot vērā 2023.gada I-IV cet. faktisko izpildi (2023.gada I-IV cet. likvidēti pamatlīdzekļi ar atlikušo vērtību 31835 eiro). 2024.gada I-IV cet. likvidēti pamatlīdzekļi ar kopējo atlikušo vērtību 5880 eiro. 2024.gada I-IV cet. salīdzinoši maz pamatlīdzekļi nebija atjaunojami vai remonta izmaksas bija lielākās nekā jaunas preces iegādes izmaksas. (2024.gada I-IV cet. ar atlikušo vērtību likvidēti-  divi veļas statīvi, divpadsmit biroja krēsli, septiņas austiņas telefonsakariem, rakstāmgalds, veļas mazgājamā mašīna,  divi matrači, monitors, mēraparāts, koagulācijas pincete, mikropincete, rokturis kaltiem, kalts, ķirurģiskais paliktnis, trīsvietīgs krēsls, fosforplates, sēdrati, HORIZON modulis, divas RTG aizsargbrilles, četrvietīgs krēsls ). 8700 - 2024.gada I-IV cet. samazinājies uzkrājums atvaļinājumu rezervēm. 8800 - 2024.gada I-IV cet. salīdzinot ar plānu samazinājušies pārējie izdevumi. </t>
  </si>
  <si>
    <t>Zaudējumi no valūtas kursa svārstībām</t>
  </si>
  <si>
    <t>Izdevumi no valūtas konvertācijas</t>
  </si>
  <si>
    <t>Norakstīto pamatlīdzekļu atlikusī vērtība</t>
  </si>
  <si>
    <t>Izdevumi debitoru parādu norakstīšanai un uzkrājumu veidošanai</t>
  </si>
  <si>
    <t>Uzkrājums atvaļinājumu rezervēm,piem., uzņēmuma vadītājiem par pārskata gadu</t>
  </si>
  <si>
    <t>Citi izdevumi</t>
  </si>
  <si>
    <t>Pārējie iepriekš neuzskaitītie budžeta izdevumi, kas veidojas pēc uzkrāšanas principa un nav uzskaitīti citos koda 8000 apakškodos</t>
  </si>
  <si>
    <t>G</t>
  </si>
  <si>
    <t>IV IZDEVUMI   PAVISAM (II + IV)</t>
  </si>
  <si>
    <t>H</t>
  </si>
  <si>
    <t xml:space="preserve"> V PEĻŅA  VAI  ZAUDĒJUMI</t>
  </si>
  <si>
    <t>Norādījumi veidlapas aizpildīšanai:</t>
  </si>
  <si>
    <r>
      <rPr>
        <vertAlign val="superscript"/>
        <sz val="12"/>
        <rFont val="Times New Roman"/>
        <family val="1"/>
      </rPr>
      <t>1</t>
    </r>
    <r>
      <rPr>
        <sz val="12"/>
        <rFont val="Times New Roman"/>
        <family val="1"/>
      </rPr>
      <t xml:space="preserve"> budžeta kodu klasifikācija sadaļā II " IZDEVUMI SAIMNIECISKĀS DARBĪBAS NODROŠINĀŠANAI KOPĀ" atbilst Ministru Kabineta noteikumiem Nr. 1031 "Noteikumi par budžetu izdevumu klasifikāciju atbilstoši ekonomiskajām kategorijām" un jāpiemēro šo MK noteikumu skaidrojumi atbilstošiem EKK</t>
    </r>
  </si>
  <si>
    <r>
      <rPr>
        <vertAlign val="superscript"/>
        <sz val="12"/>
        <rFont val="Times New Roman"/>
        <family val="1"/>
      </rPr>
      <t xml:space="preserve">2 </t>
    </r>
    <r>
      <rPr>
        <sz val="12"/>
        <rFont val="Times New Roman"/>
        <family val="1"/>
      </rPr>
      <t xml:space="preserve">detalizēti skaidrojumi par faktisko budžeta  ieņēmumu un izdevumu noviržu iemesliem periodā no </t>
    </r>
    <r>
      <rPr>
        <i/>
        <sz val="12"/>
        <rFont val="Times New Roman"/>
        <family val="1"/>
      </rPr>
      <t>n</t>
    </r>
    <r>
      <rPr>
        <sz val="12"/>
        <rFont val="Times New Roman"/>
        <family val="1"/>
      </rPr>
      <t xml:space="preserve"> gada sākuma līdz pārskata ceturkšņa beigām  gadījumos, ja novirze faktisko budžeta ieņēmumu un izdevumu pozīcijās ir virs 15%.</t>
    </r>
  </si>
  <si>
    <t xml:space="preserve">  skaidrojumi par novirzēm ir jāsniedz  sekojošiem budžeta ieņēmumu un izdevumu kodiem: 00110, 00120, 00130, 00140, 00150, 0020, 0030, 0040, 0050, 0060, 0070, 0080, 1110, 1140, 1150, 1170, 1210, 1220, 2110, 2120, 2210, 2220, 2230, 2240, 2250, 2260, 2270, 2280, 2310, 2320, 2330, 2341, 2343, 2344, 2350, 2360, 2370, 2380, 2390, 2510, 2520,2800, 4100, 4200, 4300, 5100, 5200, 0100, 8000.</t>
  </si>
  <si>
    <r>
      <rPr>
        <vertAlign val="superscript"/>
        <sz val="12"/>
        <rFont val="Times New Roman"/>
        <family val="1"/>
      </rPr>
      <t>3</t>
    </r>
    <r>
      <rPr>
        <sz val="12"/>
        <rFont val="Times New Roman"/>
        <family val="1"/>
      </rPr>
      <t xml:space="preserve"> t.sk.asins sagatavošanas nodaļas pakalpojumiem, pakalpojumi maznodrošinātajiem utt.</t>
    </r>
  </si>
  <si>
    <r>
      <rPr>
        <vertAlign val="superscript"/>
        <sz val="12"/>
        <rFont val="Times New Roman"/>
        <family val="1"/>
      </rPr>
      <t>4</t>
    </r>
    <r>
      <rPr>
        <sz val="12"/>
        <rFont val="Times New Roman"/>
        <family val="1"/>
      </rPr>
      <t xml:space="preserve"> piem., Černobiļas apliecības izsniegšana, tehnisko palīglīdzekļu centra funkciju nodrošināšana</t>
    </r>
  </si>
  <si>
    <t>Nr.p.k.</t>
  </si>
  <si>
    <t>Nosaukums</t>
  </si>
  <si>
    <r>
      <t>Skaidrojumi</t>
    </r>
    <r>
      <rPr>
        <vertAlign val="superscript"/>
        <sz val="12"/>
        <rFont val="Times New Roman"/>
        <family val="1"/>
      </rPr>
      <t>1</t>
    </r>
  </si>
  <si>
    <t>Plāns periodam no 2024. gada sākuma līdz III ceturkšņa beigām</t>
  </si>
  <si>
    <t>Izpilde periodā no 2024. gada sākuma līdz III ceturkšņa beigām</t>
  </si>
  <si>
    <t>Izpilde periodā no 2024. gada sākuma līdz IV ceturkšņa beigām</t>
  </si>
  <si>
    <t>Neto apgrozījums</t>
  </si>
  <si>
    <t>2024. gada janvārī - martā - ieņēmumi no valsts apmaksātajiem pakalpojumiem, no fizisko un juridisko personu maksas pakalpojumiem, rezidentu un studentu apmācības pakalpojumiem un ieņēmumi no bezmaksas saņemtiem medikamentiem plāns pārpildīts par 239763 eiro.</t>
  </si>
  <si>
    <t>Pārdotās produkcijas ražošanas pašizmaksa, pārdoto preču vai sniegto pakalpojumu iegādes izmaksas</t>
  </si>
  <si>
    <t>2024. gada janvārī - martā pamatdarbības izmaksas no personāla algas un VSAOI, materiālu izmaksām, pievienotā vērtības nodokļa norakstīšanas izdevumiem, komunāliem pakalpojumiem, medicīnas pakalpojumiem, slimnieku ēdināšanas izmaksām, iekārtu remontiem plāns pārpildīts par 71413 eiro.</t>
  </si>
  <si>
    <t>Bruto peļņa vai zaudējumi (no apgrozījuma)</t>
  </si>
  <si>
    <t>2024. gada janvārī- martā neto apgrozījumā ieņēmumu plāns pārpildīts par 3.6 %, pamatdarbības izmaksās plāns pārpildīts par 1.0 %.  Kopā 2024. gada janvārī - martā  plānotos zaudējumus esam samazinājuši par 168350 eiro.</t>
  </si>
  <si>
    <t>2024.gada I pusgadā palielinājusies bruto peļņa par 264%. Salīdzinot ar plānu I pusgadā palielinājušies kopējie saimnieciskās darbības ieņēmumi par 6,7%, t.i. 899671 eiro.</t>
  </si>
  <si>
    <t>2024.gada I-III samazinājusies plānotā bruto peļņa par 48%. 2024. gada I-III cet. salīdzinot ar ieņēmumiem ir palielinājušies izdevumi par preču un pakalpojumu iegādi par 123916 eiro.</t>
  </si>
  <si>
    <t>2024.gada I-IV samazinājusies plānotā bruto peļņa par 21%. 2024. gada I-IV cet. salīdzinot ar ieņēmumiem ir palielinājušies izdevumi par preču un pakalpojumu iegādi par 1.8%</t>
  </si>
  <si>
    <t>Pārdošanas izmaksas</t>
  </si>
  <si>
    <t>Administrācijas izmaksas</t>
  </si>
  <si>
    <t xml:space="preserve">Pārējie saimnieciskās darbības ieņēmumi </t>
  </si>
  <si>
    <t>2024. gada janvārī - martā pārējie ieņēmumi (galvenās pozīcijas - ieņēmumi par nomu, caurlaides ieņēmumi, investīciju ieņēmumi un ieņēmumi no kakla, ceļa, elkoņa ortozes un elkoņa kruķu pārdošanas. Plānotie ieņēmumi nav izpildīti par 27631 eiro.</t>
  </si>
  <si>
    <t>2024. gada I pusgadā pārējie ieņēmumi (galvenās pozīcijas - ieņēmumi par nomu, caurlaides ieņēmumi, investīciju ieņēmumi un ieņēmumi no kakla, ceļa, elkoņa ortozes un elkoņa kruķu pārdošanas). Plānotie ieņēmumi nav izpildīti par 67390 eiro.</t>
  </si>
  <si>
    <t>2024. gada I-III cet. pārējie ieņēmumi (galvenās pozīcijas - ieņēmumi par nomu, caurlaides ieņēmumi, investīciju ieņēmumi un ieņēmumi no kakla, ceļa, elkoņa ortozes un elkoņa kruķu pārdošanas). Plānotie ieņēmumi nav izpildīti par 118989 eiro.</t>
  </si>
  <si>
    <t>Pārējie saimnieciskās darbības izmaksas</t>
  </si>
  <si>
    <t>2024. gada janvārī - martā pārējās izmaksās (galvenās - apsardzes pakalpojumi, atkritumu izvešdanas pakalpojumi, programmatūru uzturēšanas pakalpojumi, teritorijas uzkopšanas pakalpojumi, telpu uzturēšanas pakalpojumi, nomas pakalpojumi, saimniecisko iekārtu tehniskā apkope) plāns detalizēti pa pozīcijām ir neizpildīts par 110189 eiro.</t>
  </si>
  <si>
    <t>2024. gada I pusgadā pārējās izmaksās (galvenās - apsardzes pakalpojumi, atkritumu izvešdanas pakalpojumi, programmatūru uzturēšanas pakalpojumi, teritorijas uzkopšanas pakalpojumi, telpu uzturēšanas pakalpojumi, nomas pakalpojumi, saimniecisko iekārtu tehniskā apkope) plāns detalizēti pa pozīcijām ir neizpildīts par 224271 eiro.</t>
  </si>
  <si>
    <t>2024. gada I-III cet. pārējās izmaksās (galvenās - apsardzes pakalpojumi, atkritumu izvešdanas pakalpojumi, programmatūru uzturēšanas pakalpojumi, teritorijas uzkopšanas pakalpojumi, telpu uzturēšanas pakalpojumi, nomas pakalpojumi, saimniecisko iekārtu tehniskā apkope) plāns detalizēti pa pozīcijām ir neizpildīts par 329596 eiro.</t>
  </si>
  <si>
    <t xml:space="preserve">Ieņēmumi no līdzdalības </t>
  </si>
  <si>
    <t>Ieņēmumi no vērtspapīriem un aizdevumiem, kas veidojuši ilgtermiņa aizdevumus</t>
  </si>
  <si>
    <t>Pārējie procentu ieņēmumi un tamlīdzīgi ieņēmumi</t>
  </si>
  <si>
    <t>Par noguldījumiem bankas kontā tiek aprēķināta noguldījuma procentu likme 1.5% apmērā. 2024.gada janvārī - martā pacienti samaksājuši soda naudu pa kavētiem rēķinu apmaksas termiņiem.</t>
  </si>
  <si>
    <t>2024.gada I pusgadā palielinājušies procentu ieņēmumi no depozītnoguldījuma bankā un no pacientu samaksātas soda naudas par kavētu rēķinu atmaksu.</t>
  </si>
  <si>
    <t>2024.gada I-III cet. palielinājušies procentu ieņēmumi no depozītnoguldījuma bankā un no pacientu samaksātas soda naudas par kavētu rēķinu atmaksu.</t>
  </si>
  <si>
    <t>2024.gada I-IV cet. palielinājušies procentu ieņēmumi no depozītnoguldījuma bankā un no pacientu samaksātas soda naudas par kavētu rēķinu atmaksu.</t>
  </si>
  <si>
    <t>Ilgtermiņa un īstermiņa finanšu ieguldījumu vērtības samazinājuma korekcijas</t>
  </si>
  <si>
    <t>Procentu maksājumi un tamlīdzīgas izmaksas</t>
  </si>
  <si>
    <t>Peļņa vai zaudējumi pirms uzņēmumu ienākuma nodokļa</t>
  </si>
  <si>
    <t>2024.gada janvārī - martā samazinājušies plānotie zaudējumi. Salīdzinot ar plānu izdevumi saimnieciskās darbības nodrošināsanai samazinājušies par 0.4 %, savukārt plānotie ieņēmusi palielinājušies par 3.1 %.</t>
  </si>
  <si>
    <t>2024.gada I pusgadā samazinājušies plānotie zaudējumi par 47%. I pusgadā palielinājušies faktiskie ieņēmumi no saimnieciskās darbības veikšana par 6,7%.</t>
  </si>
  <si>
    <t>2024.gada I-III cet. palielinājusies plānotā peļņa vai zaudējumi par 30%. Faktiskie ieņēmumi palielinājušies par 4.8%, savukārt izdevumi saimnieciskās darbības nodrošināšanai par 5.7%. 2024. gada I-III cet. salīdzinot ar ieņēmumiem ir palielinājušies izdevumi par preču un pakalpojumu iegādi par 123916 eiro.</t>
  </si>
  <si>
    <t>2024.gada plānotā peļņa netika sasniegta, ir zaudējumi summā 552929 eiro. Faktiskie ieņēmumi palielinājušies par 3.4%, savukārt izdevumi saimnieciskās darbības nodrošināšanai par 5.3%. 2024. gada I-IV cet. salīdzinot ar ieņēmumiem ir palielinājušies izdevumi par preču un pakalpojumu iegādi par 1.8%</t>
  </si>
  <si>
    <t>Uzņēmumu ienākuma nodoklis par pārskata gadu</t>
  </si>
  <si>
    <t xml:space="preserve">Peļņa vai zaudējumi pēc uzņēmumu ienākuma nodokļa aprēķināšanas </t>
  </si>
  <si>
    <t>Ieņēmumi vai izmaksas no atliktā nodokļa aktīvu vai saistību atlikumu izmaiņām</t>
  </si>
  <si>
    <t>Ārkārtas dividendes</t>
  </si>
  <si>
    <t xml:space="preserve">Pārskata perioda peļņa vai zaudējumi </t>
  </si>
  <si>
    <t>Mazākumakcionāru peļņas vai zaudējumu daļa</t>
  </si>
  <si>
    <t xml:space="preserve">Peļņas vai zaudējumu aprēķinu un Bilanci apkopo un norāda atbilstoši apstiprinātai kapitālsabiedrības grāmatvedības politikai.                      Visiem pielikumos norādītiem datiem jābūt loģiski savstarpēji saistītiem. </t>
  </si>
  <si>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</si>
  <si>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t>Bilances posteņa nosaukums</t>
  </si>
  <si>
    <r>
      <t>Skaidrojumi</t>
    </r>
    <r>
      <rPr>
        <vertAlign val="superscript"/>
        <sz val="12"/>
        <color rgb="FF000000"/>
        <rFont val="Times New Roman"/>
        <family val="1"/>
      </rPr>
      <t>1</t>
    </r>
  </si>
  <si>
    <t>Ilgtermiņa ieguldījumi</t>
  </si>
  <si>
    <t>Nemateriālie ieguldījumi</t>
  </si>
  <si>
    <t>2024. gada decembrī ERAF projekta ietvaros tika iegādātas  3 datorprogrammas - Starpskiemeļu disku un Mugurkaulāja skrūvju navigācijas programma un Fluoraskopijas  programmatūra.</t>
  </si>
  <si>
    <t>Attīstības izmaksas</t>
  </si>
  <si>
    <t>Koncesijas, patenti, licences, preču zīmes un tamlīdzīgas tiesības</t>
  </si>
  <si>
    <t>Citi nemateriālie ieguldījumi</t>
  </si>
  <si>
    <t>Nemateriālā vērtība</t>
  </si>
  <si>
    <t>Avansa maksājumi par nemateriālajiem ieguldījumiem</t>
  </si>
  <si>
    <t>Nemateriālo ieguldījumu amortizācija un vērtības samazinājums</t>
  </si>
  <si>
    <t>Pamatlīdzekļi</t>
  </si>
  <si>
    <t xml:space="preserve">2024. gada janvārī - martā plāns pamatlīdzekļiem kopsummā pārpildīts par 3.0%.  Šajā periodā  iegādātas medicīniskās iekārtas: anestēzijas mašīna, oscilējošie zāģi, rehabilitācijas nodaļai - pasīvo nepārtraukto kustību izstrādes ierīce - elkoņa locītavai, rokas motori, medicīniskais monitors. Sekojoši tehnoloģiskā iekārtām un mašīnām plāns pārpildīts par 397797 eiro. </t>
  </si>
  <si>
    <t>2024.gada I pusgadā iegādātas tehnoloģiskās iekārtas, lai uzlabotu pacientu aprūpi un sniegto medicīnas pakalpojumu kvalitāti. I pusgadā iegādāta dezinfekcijas iekārta, radioloģijas iekārta ar griestu lampu, sildīšanas iekārta pacientiem, ūdens attīrīšanas iekārta, vakumsūknis, anestēzijas mašīna , operāciju lampas 2 gb, kustību izstrādes ierīce elkoņu locītavai, oscilējošais zāģis, u.c.</t>
  </si>
  <si>
    <t>2024. gada decembrī ERAF projekta ietvaros tika iegādātas  tehnoloģiskās iekārtas (Roboizētā mugurkaula navigācijas iekārta summā 978609 eiro, Mugurkaula endoskopiskās kameras sistēma ar gaismas avotu summā 26166.eiro) summā 1381768 eiro.</t>
  </si>
  <si>
    <t>Zeme un būves</t>
  </si>
  <si>
    <t>Tehnoloģiskās iekārtas un mašīnas</t>
  </si>
  <si>
    <t>Pārējie pamatlīdzekļi</t>
  </si>
  <si>
    <t>Pamatlīdzekļu izveidošana un nepabeigtā būvniecība</t>
  </si>
  <si>
    <t>Turējumā nodotie valsts un pašvaldību īpašumi</t>
  </si>
  <si>
    <t>Bioloģiskie un pazemes aktīvi</t>
  </si>
  <si>
    <t>Ilgtermiņa ieguldījumi nomātajos pamatlīdzekļos</t>
  </si>
  <si>
    <t>Avansa maksājumi par pamatlīdzekļiem</t>
  </si>
  <si>
    <t xml:space="preserve">	Pamatlīdzekļu uzkrātais nolietojums un vērtības samazinājums</t>
  </si>
  <si>
    <t>Ilgtermiņa finanšu ieguldījumi</t>
  </si>
  <si>
    <t>Ilgtermiņa prasības</t>
  </si>
  <si>
    <t>Ieguldījuma īpašumi</t>
  </si>
  <si>
    <t>Bioloģiskie aktīvi lauksaimnieciskajai darbībai</t>
  </si>
  <si>
    <t>Apgrozāmie līdzekļi</t>
  </si>
  <si>
    <t>Krājumi</t>
  </si>
  <si>
    <t>2024.gada janvārī - martā slimnīcas pakalpojumu nepārtrauktai nodrošināšanai regulāri tiek veidoti krājumi, lai neparedzētu gadījumu rezultātā būtu izejvielas un materiāli medicīnas pakalpojumu nodrošinai.</t>
  </si>
  <si>
    <t>2024.gada I pusgadā slimnīcas pakalpojumu nepārtrauktai nodrošināšanai regulāri tiek veidoti krājumi, lai neparedzētu gadījumu rezultātā būtu izejvielas un materiāli medicīnas pakalpojumu nodrošinai.</t>
  </si>
  <si>
    <t>2024.gada janvārī - decebrī slimnīcas pakalpojumu nepārtrauktai nodrošināšanai regulāri tiek veidoti krājumi, lai neparedzētu gadījumu rezultātā būtu izejvielas un materiāli medicīnas pakalpojumu nodrošinai.</t>
  </si>
  <si>
    <t>Izejvielas, pamatmateriāli un palīgmateriāl</t>
  </si>
  <si>
    <t>Nepabeigtie ražojumi un pasūtījumi</t>
  </si>
  <si>
    <t>Gatavie ražojumi, pasūtījumi un krājumi atsavināšanai</t>
  </si>
  <si>
    <t>Bioloģisko aktīvu produkti un krājumi to uzturēšanai</t>
  </si>
  <si>
    <t>Valsts materiālās rezerves</t>
  </si>
  <si>
    <t>Speciālais militārais inventārs un speciālā militārā inventāra izveidošana</t>
  </si>
  <si>
    <t xml:space="preserve">	Avansa maksājumi un vērtības samazinājums avansa maksājumiem par krājumiem</t>
  </si>
  <si>
    <t>Vērtības samazinājums krājumiem</t>
  </si>
  <si>
    <t xml:space="preserve">	Īstermiņa prasības</t>
  </si>
  <si>
    <t>Prasības pret pircējiem un pasūtītājiem</t>
  </si>
  <si>
    <t>2024.gada janvārī - martā  plānots, ka prasības pret pircējiem un pasūtītājiem varētu palielināties ņemot vērā pieaugošo inflāciju. Faktiskā izpilde 1151568 eiro.</t>
  </si>
  <si>
    <t>Ņemot vērā 2023.gada faktisko izpildi tika plānots, ka prasības pret piegādātājiem varētu uzkrāties lielākā apmērā, ņemot vērā pieaugošās izmaksas par precēm un pakalpojumiem. 2024.gada I pusgadā uzkrātās prasības ir samazinājušās par 33%.</t>
  </si>
  <si>
    <t>2024.gada I-III cet. plāns sastādīts ņemot vērā 2023.gada I-III cet. faktisko izpildi (1173202 eiro). Plāns nav izpildīts.</t>
  </si>
  <si>
    <t>Ņemot vērā 2023.gada faktisko izpildi tika plānots, ka prasības pret piegādātājiem varētu uzkrāties lielākā apmērā, ņemot vērā pieaugošās izmaksas par precēm un pakalpojumiem. 2024.gada janvārī - decembrī uzkrātās prasības ir palielinājušās par 63%.</t>
  </si>
  <si>
    <t>Prasības par ārvalstu finanšu palīdzības un Eiropas Savienības politiku instrumentu finansētajiem projektiem (pasākumiem)</t>
  </si>
  <si>
    <t>Prasības par nodokļiem, nodevām un citiem maksājumiem budžetos</t>
  </si>
  <si>
    <t>Uzkrātie ieņēmumi</t>
  </si>
  <si>
    <t>Pārmaksātie nodokļi, nodevas un citi maksājumi budžetos</t>
  </si>
  <si>
    <t>Prasības pret personālu</t>
  </si>
  <si>
    <t>Pārējās prasības</t>
  </si>
  <si>
    <t>Nākamo periodu izdevumi un avansa maksājumi par pakalpojumiem un projektiem</t>
  </si>
  <si>
    <t>2024. gada faktiskā izpilde pārsniedz plānoto - 2024. gada oktobrī tika iegādāts ugunssienas, pasta aizsardzības,antivīrusu risinājums uzturēšanai (OptiCom SIA)</t>
  </si>
  <si>
    <t>Īstermiņa finanšu ieguldījumi</t>
  </si>
  <si>
    <t>Naudas līdzekļi</t>
  </si>
  <si>
    <t>Naudas līdzekļIi 2024. gada janvārī - martā  tiek segtas saistības pret piegādātājiem, kā arī plānojam, cik līdzekļi nepieciešami algu izmaksai.</t>
  </si>
  <si>
    <t>Pēc rēķinu apmaksas, naudas līdzekļu atlikums perioda beigās salīdzinot ar plānu palielinājies par 690963 eiro - naudas līdzekļi paredzēti jūnija algas izmaksai jūlija sākumā.</t>
  </si>
  <si>
    <t>AKTĪVU KOPSUMMA (1000+2000)</t>
  </si>
  <si>
    <t>Pašu kapitāls</t>
  </si>
  <si>
    <t>Pamatkapitāls</t>
  </si>
  <si>
    <t>Ilgtermiņa ieguldījumu pārvērtēšanas rezerve.</t>
  </si>
  <si>
    <t>Rezerves</t>
  </si>
  <si>
    <t xml:space="preserve">	Finanšu instrumentu patiesās vērtības rezerve</t>
  </si>
  <si>
    <t xml:space="preserve">	Pārējās rezerves</t>
  </si>
  <si>
    <t>Nesadalītā peļņa:</t>
  </si>
  <si>
    <t>2024.gada janvārī - marta  samazinājušies plānotie zaudējumi. Salīdzinot ar plānu izdevumi saimnieciskās darbības nodrošināsanai palielinājušies par 1.0%, savukārt plānotie ieņēmusi palielinājušies par 3.6%.</t>
  </si>
  <si>
    <t>2024.gada I pusgadā samazinājušies plānotie zaudējumi par 47%. I pusgadā plānotie ieņēmumi palielinājušies par 6,7%, t.i. 899671 eiro.</t>
  </si>
  <si>
    <t>2024.gada I-III cet. salīdzinot ar plānu palielinājusies pārskata perioda peļņa vai zaudējumi par 30%. Pārskata periodā izdevumi par preču un pakalpojumu iegādi palielinājušies par 123916 eiro.</t>
  </si>
  <si>
    <t>Iepriekšējo gadu nesadalītā peļņa vai nesegtie zaudējumi</t>
  </si>
  <si>
    <t>Pārskata gada peļņa vai zaudējumi</t>
  </si>
  <si>
    <t>Uzkrājumi</t>
  </si>
  <si>
    <t>Kreditori</t>
  </si>
  <si>
    <t>Ilgtermiņa kreditori</t>
  </si>
  <si>
    <t xml:space="preserve">2024. gada laikā plānots  no ilgtermiņa saistībām uz īstermiņa saistībām  pārcelt (Lagron SIA) garantijas summu. </t>
  </si>
  <si>
    <t>2024. gada decembrī sāka izpildi ERAF projekts - Ārstniecības infrastruktūras attīstība. Postenī 5140 ir garantijas summas  - Lagron SIA  summā 67717 eiro un Elanus Medical Latvia SIA summā 169508 eiro.</t>
  </si>
  <si>
    <t>Aizņēmumi no kredītiestādēm</t>
  </si>
  <si>
    <t>Citi aizņēmumi</t>
  </si>
  <si>
    <t>No pircējiem saņemtie avansi</t>
  </si>
  <si>
    <t>Parādi piegādātājiem un darbuzņēmējiem</t>
  </si>
  <si>
    <t>Nodokļi un valsts sociālās apdrošināšanas obligātās iemaksas</t>
  </si>
  <si>
    <t>Pārējie kreditori</t>
  </si>
  <si>
    <t>Nākamo periodu ieņēmumi</t>
  </si>
  <si>
    <t>Uzkrātās saistības</t>
  </si>
  <si>
    <t>Neizmaksātās dividendes</t>
  </si>
  <si>
    <t>Īstermiņa kreditori</t>
  </si>
  <si>
    <t>2024. gada janvāarī - martā  -  avansa maksājusi no pacientiem par plānveida maksas operācijām un attālinātām konsultācijām samazinājušies,  salīdzinot ar plānu;  parādi piegādātājiem un darbuņēmējiem palielinājušies par 560808 eiro. Esošos naudas līdzekļus sadalam proporcionāli daļēji sedzot saistības pret piegādātājiem, kā arī plānojam, cik līdzekļi nepieciešami algu izmaksai.</t>
  </si>
  <si>
    <t>2024.gada I pusgadā, salīdzinot ar plānu, par 43% samazinājušies saņemtie pacientu maksājumi par plānveida operācijām. Lai izpildītu valsts piešķirtās kvotas uz laiku atceltas maksas endoprotezēšanas operācijas. I pusgadā salīdzinot ar plānu palielinājušies nākamā perioda ieņēmu no investīcijām - pamatlīdzekļu nolietojums no 2006. gada līgums ar VOAVA, projekta LV0026 ietvaros, projekta 3DP/.../VEC/017, 3DP/.../VEC/013 ietvaros, 9.3.2.0/17/I/002 ietvaros u.c. eiro apmērā 147127,68 eiro.</t>
  </si>
  <si>
    <t>5230 - 2024.gada I-III cet. plāns sastādīts ņemot vērā 2023.gada I-III cet. faktisko izpildi (75800 eiro). 2024.gada I-III cet. nav izpildīts plāns, jo atceltas maksas endoprotezēšanas operācijas, maksimāli pildot piešķirtās kvotas. 5270 - Salīdzinot ar 2024.gada I-III cet plānu, Nākamo periodu ieņēmumi no investīju pamatlīdzekļiem (Pamatlīdzekļu nolietojums no 2006. gada līgums ar VOAVA, projekta LV0026 ietvaros, projekta 3DP/.../VEC/017, 3DP/.../VEC/013 ietvaros, 9.3.2.0/17/I/002 ietvaros u.c.) palielinājušies par 24521 eiro.</t>
  </si>
  <si>
    <t>Postenī 5230 - 2024.gada nogalē  saņemtie avansi sastādīja - no Nacionālā veselības dienesta 636572 eiro, no fiziskām personām par maksas operācijā un attālinātām konsultācijām 22447 eiro, nodrošinājuma nauda par izsoli 1302 eiro. Postenī 5240 palielinājušas saistības pret piegādātājiem, salīdzinājumā pret plānu par 40%. Postenī 5250 palielinājies  visu nodokļu (Iedzīvotāju ienākuma nodoklis, Sociālais nodoklis, Pievienotās vērtības nodoklis ) maksājumi par 20% pret plānoto.  Postenī 5260 algas par 2024. gada decembri izmaksātas 2025. gada janvārī. Postenī 5270 - Salīdzinot ar 2024.gada I-IV cet plānu, Nākamo periodu ieņēmumi no investīju pamatlīdzekļiem (Pamatlīdzekļu nolietojums no 2006. gada līgums ar VOAVA, projekta LV0026 ietvaros, projekta 3DP/.../VEC/017, 3DP/.../VEC/013 ietvaros, 9.3.2.0/17/I/002 ietvaros u.c.) palielinājušies par 254603 eiro jaunā projekta Nr. 4.1.1.1/1/23/I/002 ietvaros.</t>
  </si>
  <si>
    <t>PASĪVU KOPSUMMA (3000+4000+5000)</t>
  </si>
  <si>
    <t>I</t>
  </si>
  <si>
    <t>Kredītsaistības  (5100+5200)</t>
  </si>
  <si>
    <t xml:space="preserve">Ilgtermiņa kredītsaistības kopā </t>
  </si>
  <si>
    <t xml:space="preserve">Īstermiņa kredītsaistības kopā </t>
  </si>
  <si>
    <r>
      <rPr>
        <vertAlign val="superscript"/>
        <sz val="12"/>
        <color rgb="FF000000"/>
        <rFont val="Times New Roman"/>
        <family val="1"/>
      </rPr>
      <t xml:space="preserve">1 </t>
    </r>
    <r>
      <rPr>
        <sz val="12"/>
        <color rgb="FF000000"/>
        <rFont val="Times New Roman"/>
        <family val="1"/>
      </rPr>
      <t>Detalizēti skaidrojumi par noviržu iemesliem periodā no n gada sākuma līdz pārskata ceturkšņa beigām gadījumos, ja novirze ir virs 15%.</t>
    </r>
  </si>
  <si>
    <t>2024. gada plāns</t>
  </si>
  <si>
    <t>Naudas līdzekļu atlikums perioda sākumā</t>
  </si>
  <si>
    <t>J</t>
  </si>
  <si>
    <t>Pamatdarbības naudas plūsma</t>
  </si>
  <si>
    <t>Saimnieciskās darbības ieņēmumi</t>
  </si>
  <si>
    <t>Valsts līdzekļi pamatdarbībai kopā</t>
  </si>
  <si>
    <t>Ieņēmumi par izglītojošo in zinātnisko darbību</t>
  </si>
  <si>
    <t>Slimnīca noslēgusi jaunu sadarbības līgumu ar SIA JULIANUS INKASSO LATVIJA, kas aktīvi piedzen pacientu parādus no 2021. gada.</t>
  </si>
  <si>
    <t>Saņemtās pacientu iemaksas (ambulatorai palīdzībai)</t>
  </si>
  <si>
    <t xml:space="preserve">Kavēti pacientu un apdrošināšanas kompāniju maksājumi </t>
  </si>
  <si>
    <t>Saimnieciskās darbības izdevumi</t>
  </si>
  <si>
    <t>Sniegto pakalpojumu izdevumi</t>
  </si>
  <si>
    <t>Pārējie uzņēmuma saimnieciskās darbības izdevumi</t>
  </si>
  <si>
    <t>Pamatdarbības neto naudas plūsma (11 000-12 000)</t>
  </si>
  <si>
    <t>K</t>
  </si>
  <si>
    <t>Ieguldījumu darbības naudas plūsma</t>
  </si>
  <si>
    <t>Ieguldīšanas darbības ieņēmumi</t>
  </si>
  <si>
    <t>Ieņēmumi no radniecīgo sabiedrību, asociēto sabiedrību vai citu sabiedrību akciju vai daļu atsavināšanas</t>
  </si>
  <si>
    <t>Ieņēmumi no pamatlīdzekļu un nemateriālo ieguldījumu pārdošanas</t>
  </si>
  <si>
    <t>Ieņēmumi no aizdevumu atmaksas</t>
  </si>
  <si>
    <t>Saņemtie procenti</t>
  </si>
  <si>
    <t>Saņemtās dividendes</t>
  </si>
  <si>
    <t>Ieguldīšanas darbības izdevumi</t>
  </si>
  <si>
    <t>Radniecīgo sabiedrību, asociēto sabiedrību vai citu sabiedrību akciju vai daļu iegāde</t>
  </si>
  <si>
    <t>Pamatlīdzekļu un nemateriālo ieguldījumu iegāde kopā</t>
  </si>
  <si>
    <t>Intelektuālais īpašums</t>
  </si>
  <si>
    <t>2024. gada decembrī ERAF projekta ietvaros tika iegādātas  trīs datorprogrammas - Starpskiemeļu disku un Mugurkaulāja skrūvju navigācijas programma un Fluoraskopijas  programmatūra summā 314600 eiro.</t>
  </si>
  <si>
    <t>Kustamais īpašums</t>
  </si>
  <si>
    <t>2024. gada decembrī ERAF projekta ietvaros tika iegādātas tehnoloģiskās iekārtas -( lielākās - Robotizētā mugurkaula navigācijas iekārta - 978609 eiro, Mugurkaula endoskopiskās  kameras sistēma ar gaismas avotu  - 26166 eiro) 118. gb summā 1381768 eiro.</t>
  </si>
  <si>
    <t>Nekustamais īpašums</t>
  </si>
  <si>
    <t>Izsniegtie aizdevumi</t>
  </si>
  <si>
    <t>Ieguldīšanas darbības neto naudas plūsma  (14000-15 000)</t>
  </si>
  <si>
    <t> </t>
  </si>
  <si>
    <t>L</t>
  </si>
  <si>
    <t>Finansēšanas darbības naudas plūsma</t>
  </si>
  <si>
    <t>Finansēšanas darbības ieņēmumi</t>
  </si>
  <si>
    <t>Ieņēmumi no akciju un obligāciju emisijas vai kapitāla līdzdalības daļu ieguldījumiem</t>
  </si>
  <si>
    <t>Saņemtie aizņēmumi</t>
  </si>
  <si>
    <t>Saņemtās subsīdijas, dotācijas, dāvinājumi vai ziedojumi</t>
  </si>
  <si>
    <t>Finansēšanas darbības izdevumi</t>
  </si>
  <si>
    <t>Izdevumi aizņēmumu atmaksāšanai</t>
  </si>
  <si>
    <t>Izdevumi nomāta pamatlīdzekļa izpirkumam</t>
  </si>
  <si>
    <t>Izmaksātās dividendes</t>
  </si>
  <si>
    <t>Finansēšanas darbības naudas neto plūsma (17 000-18 000)</t>
  </si>
  <si>
    <t>Ārvalstu valūtu kursu svārstību rezultāts</t>
  </si>
  <si>
    <t>Klientu uzdevumā veiktā naudas saņemšana un izmaksāšana</t>
  </si>
  <si>
    <t>Naudas līdzekļu atlikums perioda beigās</t>
  </si>
  <si>
    <t>2024.gada martā saņemts maksājums no NVD par stacionāro pakalpojumu sniegšanu. Saņemtie līdzekļi kontā paredzēti marta algu izmaksai aprīļa sākumā, tāpēc atlikums perioda beigās palielinājies par 625525 eiro.</t>
  </si>
  <si>
    <t>2024.gada jūnijā saņemts maksājums no NVD par stacionāro pakalpojumu sniegšanu. Saņemtie līdzekļi kontā paredzēti jūnija algu izmaksai jūlija sākumā, tāpēc atlikums perioda beigās palielinājies par 521626 eiro.</t>
  </si>
  <si>
    <t>2024.gada septembrī saņemts maksājums no NVD par stacionāro pakalpojumu sniegšanu. Saņemtie līdzekļi kontā paredzēti jūnija algu izmaksai jūlija sākumā, tāpēc atlikums perioda beigās palielinājies par 713928 eiro.</t>
  </si>
  <si>
    <t>Slimnīcas naudas līdzekļu atlikumu uz 31.12.2024. sastāda:                             *396698 eur Valsts kasē -garantijas nauda projekta ietvaros un CFLA projekta nauda;                                     * 170883 eur -CFLA ieskaitītā nauda projekta ietvaros;                                 *646248 eur norēķinu kontā, kas paredzēts decembra algu izmaksai.</t>
  </si>
  <si>
    <t>Valsts galvotais aizdevums</t>
  </si>
  <si>
    <t>ES fondu projektu līdzfinansējums</t>
  </si>
  <si>
    <t>Citu ārvalstu projektu līdzfinansējums</t>
  </si>
  <si>
    <t>Pašu līdzekļi</t>
  </si>
  <si>
    <t>Budžeta līdzekļi</t>
  </si>
  <si>
    <t>Pacientu personīgie līdzekļi</t>
  </si>
  <si>
    <t>Citi finanšu līdzekļi</t>
  </si>
  <si>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</si>
  <si>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t>Rādītāja nosaukums</t>
  </si>
  <si>
    <t>Izpilde periodā no 2024. gada sākuma līdz 2024 ceturkšņa beigām</t>
  </si>
  <si>
    <r>
      <t>Skaidrojumi</t>
    </r>
    <r>
      <rPr>
        <vertAlign val="superscript"/>
        <sz val="12"/>
        <rFont val="Times New Roman"/>
        <family val="1"/>
      </rPr>
      <t>12</t>
    </r>
  </si>
  <si>
    <t>23000</t>
  </si>
  <si>
    <t>VESELĪBAS APRŪPE</t>
  </si>
  <si>
    <t>X</t>
  </si>
  <si>
    <t>23100</t>
  </si>
  <si>
    <t>Neatliekamās medicīniskās palīdzības sniegšana uzņemšanas nodaļā (t.sk. traumpunktā), izslēdzot dzemdības un plānveida hospitalizācijas</t>
  </si>
  <si>
    <t>23110</t>
  </si>
  <si>
    <t>Kopējais pacientu skaits periodā, kas vērsušies NMPUN, t.sk.</t>
  </si>
  <si>
    <t>23111</t>
  </si>
  <si>
    <r>
      <t xml:space="preserve">Pacientu skaits periodā, kuriem sniegta neatliekamā medicīniskā palīdzība un </t>
    </r>
    <r>
      <rPr>
        <i/>
        <sz val="12"/>
        <rFont val="Times New Roman"/>
        <family val="1"/>
      </rPr>
      <t>tie novirzīti turpmākai ambulatorai ārstēšanai</t>
    </r>
  </si>
  <si>
    <t>23112</t>
  </si>
  <si>
    <r>
      <t>Pacientu skaits periodā,</t>
    </r>
    <r>
      <rPr>
        <i/>
        <sz val="12"/>
        <rFont val="Times New Roman"/>
        <family val="1"/>
      </rPr>
      <t xml:space="preserve"> kuri stacionēti (bez observācijas)</t>
    </r>
  </si>
  <si>
    <t>23113</t>
  </si>
  <si>
    <r>
      <t xml:space="preserve">Pacientu skaits periodā, </t>
    </r>
    <r>
      <rPr>
        <i/>
        <sz val="12"/>
        <rFont val="Times New Roman"/>
        <family val="1"/>
      </rPr>
      <t>kuriem nodrošināts observācijas pakalpojums, t.sk.</t>
    </r>
  </si>
  <si>
    <t>231131</t>
  </si>
  <si>
    <t>Pacientu skaits periodā, kuri pēc observācijas novirzīti turpmākai ambulatorai ārstēšanai</t>
  </si>
  <si>
    <t>231132</t>
  </si>
  <si>
    <t>Pacientu skaits periodā, kuri pēc observācijas stacionēti</t>
  </si>
  <si>
    <t>23212</t>
  </si>
  <si>
    <t>Kopējais stacionēto pacientu skaits no NMPUN (23112+231132)</t>
  </si>
  <si>
    <t>23213</t>
  </si>
  <si>
    <t>Kopējais stacionēto pacientu īpatsvars  no kopējā gadījumu skaita uzņemšanas nodaļā, % (23212/23110)</t>
  </si>
  <si>
    <t>23214</t>
  </si>
  <si>
    <r>
      <t>Vidējais</t>
    </r>
    <r>
      <rPr>
        <vertAlign val="superscript"/>
        <sz val="12"/>
        <rFont val="Times New Roman"/>
        <family val="1"/>
      </rPr>
      <t>1</t>
    </r>
    <r>
      <rPr>
        <sz val="12"/>
        <rFont val="Times New Roman"/>
        <family val="1"/>
      </rPr>
      <t xml:space="preserve"> observācijas gultu skaits</t>
    </r>
  </si>
  <si>
    <t>23215</t>
  </si>
  <si>
    <t>Observācijas gadījumu īpatsvars no kopējā gadījumu skaita uzņemšanas nodaļā (23113/23110), %</t>
  </si>
  <si>
    <t>23200</t>
  </si>
  <si>
    <t>STACIONĀRĀ VESELĪBAS APRŪPE</t>
  </si>
  <si>
    <t>23210</t>
  </si>
  <si>
    <t>Vidējais gultu skaits stacionārā</t>
  </si>
  <si>
    <t>23230</t>
  </si>
  <si>
    <t>Kopējais gultu dienu skaits</t>
  </si>
  <si>
    <t>23231</t>
  </si>
  <si>
    <t>Stacionārā pacienta dienas vidējā realizācijas maksa, EUR</t>
  </si>
  <si>
    <t>Samazinājies kopējais gultas dienu skaits</t>
  </si>
  <si>
    <t>Rādītājs atkarīgs no kopējiem Slimnīcas izdevumiem</t>
  </si>
  <si>
    <t>23232</t>
  </si>
  <si>
    <t>Stacionārā pacienta dienas vidējā pašizmaksa, EUR</t>
  </si>
  <si>
    <t>23250</t>
  </si>
  <si>
    <r>
      <t>Kopējais hospitalizācijas</t>
    </r>
    <r>
      <rPr>
        <vertAlign val="superscript"/>
        <sz val="12"/>
        <rFont val="Times New Roman"/>
        <family val="1"/>
      </rPr>
      <t>2</t>
    </r>
    <r>
      <rPr>
        <sz val="12"/>
        <rFont val="Times New Roman"/>
        <family val="1"/>
      </rPr>
      <t xml:space="preserve"> gadījumu skaits, t.sk.</t>
    </r>
  </si>
  <si>
    <t>232501</t>
  </si>
  <si>
    <r>
      <t>Valsts apmaksāto hospitalizācijas</t>
    </r>
    <r>
      <rPr>
        <i/>
        <vertAlign val="superscript"/>
        <sz val="12"/>
        <rFont val="Times New Roman"/>
        <family val="1"/>
      </rPr>
      <t>2</t>
    </r>
    <r>
      <rPr>
        <i/>
        <sz val="12"/>
        <rFont val="Times New Roman"/>
        <family val="1"/>
      </rPr>
      <t xml:space="preserve"> gadījumu skaits</t>
    </r>
  </si>
  <si>
    <t>23251</t>
  </si>
  <si>
    <r>
      <t>Plānveida hospitalizācijas</t>
    </r>
    <r>
      <rPr>
        <vertAlign val="superscript"/>
        <sz val="12"/>
        <rFont val="Times New Roman"/>
        <family val="1"/>
      </rPr>
      <t>2</t>
    </r>
    <r>
      <rPr>
        <sz val="12"/>
        <rFont val="Times New Roman"/>
        <family val="1"/>
      </rPr>
      <t xml:space="preserve"> gadījumu skaits, t.sk.:</t>
    </r>
  </si>
  <si>
    <t>232511</t>
  </si>
  <si>
    <r>
      <t>Valsts apmaksāto plānveida hospitalizācijas</t>
    </r>
    <r>
      <rPr>
        <i/>
        <vertAlign val="superscript"/>
        <sz val="12"/>
        <rFont val="Times New Roman"/>
        <family val="1"/>
      </rPr>
      <t>2</t>
    </r>
    <r>
      <rPr>
        <i/>
        <sz val="12"/>
        <rFont val="Times New Roman"/>
        <family val="1"/>
      </rPr>
      <t xml:space="preserve"> gadījumu skaits</t>
    </r>
  </si>
  <si>
    <t>23252</t>
  </si>
  <si>
    <r>
      <t>Neatliekamo hospitalizāciju</t>
    </r>
    <r>
      <rPr>
        <vertAlign val="superscript"/>
        <sz val="12"/>
        <rFont val="Times New Roman"/>
        <family val="1"/>
      </rPr>
      <t>2</t>
    </r>
    <r>
      <rPr>
        <sz val="12"/>
        <rFont val="Times New Roman"/>
        <family val="1"/>
      </rPr>
      <t xml:space="preserve"> gadījumu skaits, t.sk.:</t>
    </r>
  </si>
  <si>
    <t>232521</t>
  </si>
  <si>
    <r>
      <t>Valsts apmaksāto neatliekamo hospitalizācijas</t>
    </r>
    <r>
      <rPr>
        <i/>
        <vertAlign val="superscript"/>
        <sz val="12"/>
        <rFont val="Times New Roman"/>
        <family val="1"/>
      </rPr>
      <t>2</t>
    </r>
    <r>
      <rPr>
        <i/>
        <sz val="12"/>
        <rFont val="Times New Roman"/>
        <family val="1"/>
      </rPr>
      <t xml:space="preserve"> gadījumu skaits</t>
    </r>
  </si>
  <si>
    <t>23261</t>
  </si>
  <si>
    <r>
      <t>Atkārtoti hospitalizēto pacientu skaits, neieskaitot pacientus, kuriem nākamā hospitalizācija ir aprūpe vai rehabilitācija</t>
    </r>
    <r>
      <rPr>
        <vertAlign val="superscript"/>
        <sz val="12"/>
        <rFont val="Times New Roman"/>
        <family val="1"/>
      </rPr>
      <t>9</t>
    </r>
  </si>
  <si>
    <t>23262</t>
  </si>
  <si>
    <r>
      <t>Atkārtoti hospitalizēto pacientu skaits, kuriem nākamā hospitalizācija ir aprūpe,  rehabilitācija vai nākamais ārstēšanas posms</t>
    </r>
    <r>
      <rPr>
        <vertAlign val="superscript"/>
        <sz val="12"/>
        <rFont val="Times New Roman"/>
        <family val="1"/>
      </rPr>
      <t>10</t>
    </r>
  </si>
  <si>
    <t xml:space="preserve">Rādītājs ir mazs absolūtos skaitļos, tāpēc % novirze nav korekti novērtējama, kā arī rādītājs nav precīzi prognozējams. </t>
  </si>
  <si>
    <t>23270</t>
  </si>
  <si>
    <t>Izdarīto operāciju skaits diennakts stacionārā</t>
  </si>
  <si>
    <t>23280</t>
  </si>
  <si>
    <t>Ārstēšanas vidējais ilgums diennakts stacionārā (dienas)</t>
  </si>
  <si>
    <t>23290</t>
  </si>
  <si>
    <t>Vidējais gultu noslogojums diennakts stacionārā, %</t>
  </si>
  <si>
    <t>23300</t>
  </si>
  <si>
    <t>AMBULATORĀ VESELĪBAS APRŪPE</t>
  </si>
  <si>
    <t>23320</t>
  </si>
  <si>
    <t>Ambulatoro apmeklējumu skaits, t.sk.</t>
  </si>
  <si>
    <t>23321</t>
  </si>
  <si>
    <t>Valsts apmaksātie ambulatorie pakalpojumi</t>
  </si>
  <si>
    <t>233211</t>
  </si>
  <si>
    <t>t.sk. dienas stacionārā</t>
  </si>
  <si>
    <t>23322</t>
  </si>
  <si>
    <t>Maksas ambulatorie pakalpojumi</t>
  </si>
  <si>
    <t>233221</t>
  </si>
  <si>
    <t>23330</t>
  </si>
  <si>
    <t>Vidējais gultu skaits dienas stacionārā</t>
  </si>
  <si>
    <t>23340</t>
  </si>
  <si>
    <t>Vidējais gultu noslogojums dienas stacionārā, %</t>
  </si>
  <si>
    <t>23350</t>
  </si>
  <si>
    <r>
      <t>Ambultatori izdarīto operāciju skaits</t>
    </r>
    <r>
      <rPr>
        <vertAlign val="superscript"/>
        <sz val="12"/>
        <rFont val="Times New Roman"/>
        <family val="1"/>
      </rPr>
      <t>11</t>
    </r>
    <r>
      <rPr>
        <sz val="12"/>
        <rFont val="Times New Roman"/>
        <family val="1"/>
      </rPr>
      <t>, t.sk.:</t>
    </r>
  </si>
  <si>
    <t>Pieaudzis dienas stacionāra operāciju skaits, kā arī pacientu skaits ar brūcēm, kam nepieciešama ķirurģiska apdare.</t>
  </si>
  <si>
    <t>23351</t>
  </si>
  <si>
    <t>Izdarīto operāciju skaits dienas stacionārā</t>
  </si>
  <si>
    <t>24000</t>
  </si>
  <si>
    <t>SOCIĀLĀ REHABILITĀCIJA</t>
  </si>
  <si>
    <t>24100</t>
  </si>
  <si>
    <t>Klientu dienu skaits</t>
  </si>
  <si>
    <t>24200</t>
  </si>
  <si>
    <r>
      <t xml:space="preserve">Klienta dienas vidējā realizācijas maksa, </t>
    </r>
    <r>
      <rPr>
        <i/>
        <sz val="12"/>
        <rFont val="Times New Roman"/>
        <family val="1"/>
      </rPr>
      <t>euro</t>
    </r>
  </si>
  <si>
    <t>24300</t>
  </si>
  <si>
    <r>
      <t xml:space="preserve">Klienta dienas vidējā pašizmaksa, </t>
    </r>
    <r>
      <rPr>
        <i/>
        <sz val="12"/>
        <rFont val="Times New Roman"/>
        <family val="1"/>
      </rPr>
      <t>euro</t>
    </r>
  </si>
  <si>
    <t>24400</t>
  </si>
  <si>
    <t xml:space="preserve">Klientu skaits </t>
  </si>
  <si>
    <t>24500</t>
  </si>
  <si>
    <r>
      <t xml:space="preserve">Vidējais sociālās aprūpes ilgums, </t>
    </r>
    <r>
      <rPr>
        <i/>
        <sz val="12"/>
        <rFont val="Times New Roman"/>
        <family val="1"/>
      </rPr>
      <t xml:space="preserve">dienas </t>
    </r>
  </si>
  <si>
    <t>25000</t>
  </si>
  <si>
    <t>SOCIĀlĀ APRŪPE</t>
  </si>
  <si>
    <t>25100</t>
  </si>
  <si>
    <t>25200</t>
  </si>
  <si>
    <t>25300</t>
  </si>
  <si>
    <t>25400</t>
  </si>
  <si>
    <t>25500</t>
  </si>
  <si>
    <t>26000</t>
  </si>
  <si>
    <t>PERSONĀLA RĀDĪTĀJI</t>
  </si>
  <si>
    <t>26100</t>
  </si>
  <si>
    <t xml:space="preserve">Štata vienību / likmju vidējais skaits </t>
  </si>
  <si>
    <t>26110</t>
  </si>
  <si>
    <r>
      <t>Ārsti</t>
    </r>
    <r>
      <rPr>
        <vertAlign val="superscript"/>
        <sz val="12"/>
        <rFont val="Times New Roman"/>
        <family val="1"/>
      </rPr>
      <t>3</t>
    </r>
  </si>
  <si>
    <t>26120</t>
  </si>
  <si>
    <r>
      <t>Ārstniecības un pacientu aprūpes personāls</t>
    </r>
    <r>
      <rPr>
        <vertAlign val="superscript"/>
        <sz val="12"/>
        <rFont val="Times New Roman"/>
        <family val="1"/>
      </rPr>
      <t>4</t>
    </r>
  </si>
  <si>
    <t>26130</t>
  </si>
  <si>
    <r>
      <t>Ārstniecības un pacientu aprūpes atbalsta personāls</t>
    </r>
    <r>
      <rPr>
        <vertAlign val="superscript"/>
        <sz val="12"/>
        <rFont val="Times New Roman"/>
        <family val="1"/>
      </rPr>
      <t>5</t>
    </r>
  </si>
  <si>
    <t>26140</t>
  </si>
  <si>
    <r>
      <t>Administrācija</t>
    </r>
    <r>
      <rPr>
        <vertAlign val="superscript"/>
        <sz val="12"/>
        <rFont val="Times New Roman"/>
        <family val="1"/>
      </rPr>
      <t>6</t>
    </r>
  </si>
  <si>
    <t>26150</t>
  </si>
  <si>
    <r>
      <t>Pārējais personāls (t.sk. sanitāri)</t>
    </r>
    <r>
      <rPr>
        <vertAlign val="superscript"/>
        <sz val="12"/>
        <rFont val="Times New Roman"/>
        <family val="1"/>
      </rPr>
      <t>7</t>
    </r>
  </si>
  <si>
    <t>26200</t>
  </si>
  <si>
    <t xml:space="preserve">Vidējie ienākumi uz vienu štata vienību likmi </t>
  </si>
  <si>
    <t>26210</t>
  </si>
  <si>
    <t>26220</t>
  </si>
  <si>
    <t>26230</t>
  </si>
  <si>
    <t>26240</t>
  </si>
  <si>
    <t>26250</t>
  </si>
  <si>
    <t>26300</t>
  </si>
  <si>
    <t>Vidējais darbinieku skaits (cilv.)</t>
  </si>
  <si>
    <t>26310</t>
  </si>
  <si>
    <t>26320</t>
  </si>
  <si>
    <t>26330</t>
  </si>
  <si>
    <t>26340</t>
  </si>
  <si>
    <t>26350</t>
  </si>
  <si>
    <t>26400</t>
  </si>
  <si>
    <r>
      <t xml:space="preserve">Darbinieku </t>
    </r>
    <r>
      <rPr>
        <b/>
        <u/>
        <sz val="12"/>
        <rFont val="Times New Roman"/>
        <family val="1"/>
      </rPr>
      <t xml:space="preserve">vidējie </t>
    </r>
    <r>
      <rPr>
        <b/>
        <sz val="12"/>
        <rFont val="Times New Roman"/>
        <family val="1"/>
      </rPr>
      <t xml:space="preserve">ienākumi mēnesī: </t>
    </r>
  </si>
  <si>
    <t>26410</t>
  </si>
  <si>
    <t>26420</t>
  </si>
  <si>
    <t>26430</t>
  </si>
  <si>
    <t>26440</t>
  </si>
  <si>
    <t>26450</t>
  </si>
  <si>
    <t>26500</t>
  </si>
  <si>
    <t>Citi personāla rādītāji</t>
  </si>
  <si>
    <t>26510</t>
  </si>
  <si>
    <t>Darbinieku mainība,%</t>
  </si>
  <si>
    <t>26520</t>
  </si>
  <si>
    <t>Vidējais nostrādāto virsstundu skaits uz vienu ārtsniecības personu, kas attiecīgā periodā veic virsstundu darbu</t>
  </si>
  <si>
    <t>Personāls mazāk slimo un mazāk iet atvaļinājumā. Ņemot vērā laikapstākļus- mazāk akūto traumu.</t>
  </si>
  <si>
    <t>26530</t>
  </si>
  <si>
    <t>Ārstniecības personu īpatsvars, kas veic virsstundu darbu, no kopējā ārtsniecības personu skaita, %</t>
  </si>
  <si>
    <t>26540</t>
  </si>
  <si>
    <t>Strādājošo 25-40 gadus veco ārstniecības personu īpatsvars no kopējā ārstniecības personu skaita,%</t>
  </si>
  <si>
    <t>27000</t>
  </si>
  <si>
    <t>PĀRĒJIE RĀDĪTĀJI</t>
  </si>
  <si>
    <t>27100</t>
  </si>
  <si>
    <r>
      <t>Kopējā slimnīcas telpu platība  (m</t>
    </r>
    <r>
      <rPr>
        <vertAlign val="superscript"/>
        <sz val="12"/>
        <rFont val="Times New Roman"/>
        <family val="1"/>
      </rPr>
      <t>2</t>
    </r>
    <r>
      <rPr>
        <sz val="12"/>
        <rFont val="Times New Roman"/>
        <family val="1"/>
      </rPr>
      <t>), t.sk.:</t>
    </r>
  </si>
  <si>
    <t>27110</t>
  </si>
  <si>
    <t>Palīgtelpas (garāžas, šķūņi, katlumājas utt.)</t>
  </si>
  <si>
    <t>27200</t>
  </si>
  <si>
    <t>Centrālapkures patēriņš (MWh)</t>
  </si>
  <si>
    <t>27300</t>
  </si>
  <si>
    <t>Elektroenerģijas patērinš (kWh)</t>
  </si>
  <si>
    <t>27400</t>
  </si>
  <si>
    <r>
      <t>Ūdens patēriņš  ( m</t>
    </r>
    <r>
      <rPr>
        <vertAlign val="superscript"/>
        <sz val="12"/>
        <rFont val="Times New Roman"/>
        <family val="1"/>
      </rPr>
      <t>3</t>
    </r>
    <r>
      <rPr>
        <sz val="12"/>
        <rFont val="Times New Roman"/>
        <family val="1"/>
      </rPr>
      <t>)</t>
    </r>
  </si>
  <si>
    <t>27500</t>
  </si>
  <si>
    <r>
      <t>Kanalizācija  (m</t>
    </r>
    <r>
      <rPr>
        <vertAlign val="superscript"/>
        <sz val="12"/>
        <rFont val="Times New Roman"/>
        <family val="1"/>
      </rPr>
      <t>3</t>
    </r>
    <r>
      <rPr>
        <sz val="12"/>
        <rFont val="Times New Roman"/>
        <family val="1"/>
      </rPr>
      <t>)</t>
    </r>
  </si>
  <si>
    <t>28000</t>
  </si>
  <si>
    <t>MEDIKAMENTI UN MEDICĪNAS PRECES</t>
  </si>
  <si>
    <t>28100</t>
  </si>
  <si>
    <r>
      <t>Stacionāro pakalpojumu sniegšanai izmantotie medikamenti uz gultas dienu</t>
    </r>
    <r>
      <rPr>
        <vertAlign val="superscript"/>
        <sz val="12"/>
        <rFont val="Times New Roman"/>
        <family val="1"/>
      </rPr>
      <t>8</t>
    </r>
  </si>
  <si>
    <r>
      <rPr>
        <vertAlign val="superscript"/>
        <sz val="12"/>
        <rFont val="Times New Roman"/>
        <family val="1"/>
      </rPr>
      <t xml:space="preserve">1 </t>
    </r>
    <r>
      <rPr>
        <sz val="12"/>
        <rFont val="Times New Roman"/>
        <family val="1"/>
      </rPr>
      <t xml:space="preserve"> "vidējais"  rādītāja vērtība katra mēneša pēdējā datumā un summa, dalot ar mēnešu skaitu pārskata periodā</t>
    </r>
  </si>
  <si>
    <r>
      <rPr>
        <vertAlign val="superscript"/>
        <sz val="12"/>
        <rFont val="Times New Roman"/>
        <family val="1"/>
      </rPr>
      <t xml:space="preserve">2 </t>
    </r>
    <r>
      <rPr>
        <sz val="12"/>
        <rFont val="Times New Roman"/>
        <family val="1"/>
      </rPr>
      <t>hospitalizāciju skaits, bez fiktīvās izrakstīšanās attiecīgā perioda ietvaros</t>
    </r>
  </si>
  <si>
    <r>
      <rPr>
        <vertAlign val="superscript"/>
        <sz val="12"/>
        <rFont val="Times New Roman"/>
        <family val="1"/>
      </rPr>
      <t xml:space="preserve">3 </t>
    </r>
    <r>
      <rPr>
        <sz val="12"/>
        <rFont val="Times New Roman"/>
        <family val="1"/>
      </rPr>
      <t>sertificēti  ārsti, zobārsti un funkcionālie speciālisti, reģistrēti ārsti, zobārsti un funkcionālie speciālisti, rezidenti</t>
    </r>
  </si>
  <si>
    <r>
      <rPr>
        <vertAlign val="superscript"/>
        <sz val="12"/>
        <rFont val="Times New Roman"/>
        <family val="1"/>
      </rPr>
      <t xml:space="preserve">4 </t>
    </r>
    <r>
      <rPr>
        <sz val="12"/>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</si>
  <si>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2"/>
        <rFont val="Times New Roman"/>
        <family val="1"/>
      </rPr>
      <t xml:space="preserve">5 </t>
    </r>
    <r>
      <rPr>
        <sz val="12"/>
        <rFont val="Times New Roman"/>
        <family val="1"/>
      </rPr>
      <t>māsu palīgi, zobārsta asistenti</t>
    </r>
  </si>
  <si>
    <r>
      <rPr>
        <vertAlign val="superscript"/>
        <sz val="12"/>
        <rFont val="Times New Roman"/>
        <family val="1"/>
      </rPr>
      <t xml:space="preserve">6 </t>
    </r>
    <r>
      <rPr>
        <sz val="12"/>
        <rFont val="Times New Roman"/>
        <family val="1"/>
      </rPr>
      <t xml:space="preserve">valde, padome, valdes/padomes birojs, ārstniecības personām, kuras tiešā veidā nav saistītas ar pacientu ārstēšanu -  klīniku vadītājiem, virsārstiem, profila virsārstiem, vecākajiem ārstiem, galvenajām māsām, ārstiem koordinatoriem, projektu vadītājiem, departamentu direktoriem un to vietniekiem, tehniskajam direktoram, kā arī sekojošām struktūrvienībām: komunikācijas, personāla vadības, finanšu, u.c. </t>
    </r>
  </si>
  <si>
    <r>
      <rPr>
        <vertAlign val="superscript"/>
        <sz val="12"/>
        <rFont val="Times New Roman"/>
        <family val="1"/>
      </rPr>
      <t xml:space="preserve">7 </t>
    </r>
    <r>
      <rPr>
        <sz val="12"/>
        <rFont val="Times New Roman"/>
        <family val="1"/>
      </rPr>
      <t>saimnieciskais personāls, ārstniecības un aprūpes procesu atbalsta personāls (t.sk. sanitāri)</t>
    </r>
  </si>
  <si>
    <r>
      <rPr>
        <vertAlign val="superscript"/>
        <sz val="12"/>
        <rFont val="Times New Roman"/>
        <family val="1"/>
      </rPr>
      <t xml:space="preserve">8 </t>
    </r>
    <r>
      <rPr>
        <sz val="12"/>
        <rFont val="Times New Roman"/>
        <family val="1"/>
      </rPr>
      <t>medikamenti, medicīnas preces, implanti, sterilizācijas materiāli, medicīnas instrumenti, laboratorijas preces stacionāro pakalpojumu nodrošināšanai (bez bezmaksas medikamnetiem un med. Precēm)/ Stacionāra gultu dienu skaits</t>
    </r>
  </si>
  <si>
    <r>
      <rPr>
        <vertAlign val="superscript"/>
        <sz val="12"/>
        <rFont val="Times New Roman"/>
        <family val="1"/>
      </rPr>
      <t xml:space="preserve">9 </t>
    </r>
    <r>
      <rPr>
        <sz val="12"/>
        <rFont val="Times New Roman"/>
        <family val="1"/>
      </rPr>
      <t>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</si>
  <si>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2"/>
        <rFont val="Times New Roman"/>
        <family val="1"/>
      </rPr>
      <t>10</t>
    </r>
    <r>
      <rPr>
        <sz val="12"/>
        <color theme="1"/>
        <rFont val="Calibri"/>
        <family val="2"/>
        <charset val="186"/>
        <scheme val="minor"/>
      </rPr>
      <t xml:space="preserve"> </t>
    </r>
    <r>
      <rPr>
        <sz val="12"/>
        <rFont val="Times New Roman"/>
        <family val="1"/>
      </rPr>
      <t>rehospitalizāciju skaitā ieskaita pacientus, kas atkārtoti hospitalizēti tajā pašā vai nākamajā dienā, kuru nākamā hospitalizācija ir aprūpe vai rehabilitācija (atbilstoši NVD mājas lapā publicētā "Pārskats par uz mājām izrakstītiem pacientiem, kas atkārtoti hospitalizēti tajā pašā vai nākamajā dienā" izslēgšanas kritērijos GPF kodam)</t>
    </r>
  </si>
  <si>
    <r>
      <rPr>
        <vertAlign val="superscript"/>
        <sz val="12"/>
        <rFont val="Times New Roman"/>
        <family val="1"/>
      </rPr>
      <t xml:space="preserve">11 </t>
    </r>
    <r>
      <rPr>
        <sz val="12"/>
        <rFont val="Times New Roman"/>
        <family val="1"/>
      </rPr>
      <t>atbilstoši NVD mājas lapā publocētajam "Valsts apmaksājamo manipulāciju un to apmaksas nosacījumu saraksts" Lielo ķirurģisko operāciju klasifikatoram (10.kolonna)</t>
    </r>
  </si>
  <si>
    <r>
      <rPr>
        <vertAlign val="superscript"/>
        <sz val="12"/>
        <rFont val="Times New Roman"/>
        <family val="1"/>
      </rPr>
      <t xml:space="preserve">12 </t>
    </r>
    <r>
      <rPr>
        <sz val="12"/>
        <rFont val="Times New Roman"/>
        <family val="1"/>
      </rPr>
      <t>detalizēti skaidrojumi par noviržu iemesliem periodā no n gada sākuma līdz pārskata ceturkšņa beigām gadījumos, ja novirze ir virs 15%.</t>
    </r>
  </si>
  <si>
    <t>Kopā intelektuālie īpašumi</t>
  </si>
  <si>
    <t xml:space="preserve">Attīstības pasākumi un programmas </t>
  </si>
  <si>
    <t xml:space="preserve">Datorprogrammas </t>
  </si>
  <si>
    <t>Pārējās licences, koncesijas un patenti, preču zīmes un tamlīdzīgas tiesības</t>
  </si>
  <si>
    <t xml:space="preserve">Pārējie nemateriālie ieguldījumi </t>
  </si>
  <si>
    <t>Kopā nekustamie īpašumi</t>
  </si>
  <si>
    <t xml:space="preserve">Nedzīvojamās ēkas </t>
  </si>
  <si>
    <t xml:space="preserve">Zeme zem ēkām un būvēm </t>
  </si>
  <si>
    <t xml:space="preserve">Pārējā zeme </t>
  </si>
  <si>
    <t xml:space="preserve">Celtnes un būves </t>
  </si>
  <si>
    <t xml:space="preserve">Pārējais nekustamais īpašums </t>
  </si>
  <si>
    <t>Kapitālais remonts un rekonstrukcija</t>
  </si>
  <si>
    <t xml:space="preserve">Nepabeigtā būvniecība </t>
  </si>
  <si>
    <t>Kopā kustamie īpašumi</t>
  </si>
  <si>
    <t>2024. gada janvārī - martā nav plānota programmu,  licenču iegāde, kā arī pamatlīdzekļu iegāde. Šajā periodā  iegādātas medicīniskās iekārtas: anestēzijas mašīna, oscilējošie zāģi,rehabilitācijas nodaļai - pasīvo nepārtraukto kustību izstrādes ierīce - elkoņa locītavai, rokas motori, medicīniskais monitors.</t>
  </si>
  <si>
    <t>2024. gad I pusgadā nebija plānoti pamatlīdzekļi un datorprogrammas. Periodā 2024. gada aprīlī- jūnijā tika iegādāti - artroskopi - 2gb summā 5566 eiro; saimniecības pamatlīdzekļiem uzlabota ventilācijas sistēma, kondicioniera, komutatoru, guļratu - 2 gb iegāde. Papildināta un rekonstruēta datortehnka - datori, monitori, printeri summā 24190 eiro, kā arī disku masīva iegāde summā 19898 eiro.</t>
  </si>
  <si>
    <t>2024. gada janvārī - septembrī bija plānoti pamatlīdzekļi un datorprogrammas. Periodā 2024. gada aprīlī- setptembrī tika iegādāti - artroskopi - 3 gb summā 7706  eiro; saimniecības pamatlīdzekļiem uzlabota ventilācijas sistēma, kondicioniera, komutatoru, guļratu - 2 gb iegāde. Papildināta un rekonstruēta datortehnka  janvārī - septembrī- datori, monitori, printeri summā 61326 eiro, kā arī disku masīva iegāde summā 19898 eiro.</t>
  </si>
  <si>
    <t xml:space="preserve">Tehnoloģiskās iekārtas un mašīnas </t>
  </si>
  <si>
    <t>Medicīnas un laboratoijas iekārtas</t>
  </si>
  <si>
    <t xml:space="preserve">Anestezijas mašīna "carestation </t>
  </si>
  <si>
    <t>Zāģis oscilējošais Ortodrive - 5 gb</t>
  </si>
  <si>
    <t>Pasīvo nepārtraukto kustību izstrādes ierīces - elkoņa locītavai</t>
  </si>
  <si>
    <t>Rokas motors  UNIT- 3 gb</t>
  </si>
  <si>
    <t>Motors Orthodrive - 3 gb</t>
  </si>
  <si>
    <t>Monitors medicīniskais</t>
  </si>
  <si>
    <t>Artroskops-3 gb</t>
  </si>
  <si>
    <t>Operāciju galda sistēma ar papildaprīkojumu</t>
  </si>
  <si>
    <t>Atslēga ar griezes spēka ierobežotāju</t>
  </si>
  <si>
    <t>Pārējās medicīnas iekārtas (instrumenti - asmeņi, manžetes, grozi sterilizācijai)</t>
  </si>
  <si>
    <t>Robotizētā mugurkaula navigācijas iekārta</t>
  </si>
  <si>
    <t>Mugurkaula endoskopiskās kameras sistēma ar gaismas avotu</t>
  </si>
  <si>
    <t>Medicīnskās iekārtas projekta "Ārstniecības infrastruktūras attīstība" ietvaros - 116 gb</t>
  </si>
  <si>
    <t>Pārējās tehnoloģiskās iekārtas un mašīnas</t>
  </si>
  <si>
    <t>Trīsžokļu patrona rīmēānai</t>
  </si>
  <si>
    <t>Stiepļu vadītājs</t>
  </si>
  <si>
    <t xml:space="preserve">Transportlīdzekļi </t>
  </si>
  <si>
    <t xml:space="preserve">Saimniecības pamatlīdzekļi </t>
  </si>
  <si>
    <t>Ventilācijas sistēma</t>
  </si>
  <si>
    <t>Kondicionieris kasetes tipa</t>
  </si>
  <si>
    <t>Biroja kresli (32 gb), galdi, mēbeļu komplekti, krēsli</t>
  </si>
  <si>
    <t>Tvaika nosūcējs</t>
  </si>
  <si>
    <t>Pārējie saimniecības pamatlīdzekļi</t>
  </si>
  <si>
    <t>Datortehnika, sakaru un cita biroja tehnika</t>
  </si>
  <si>
    <t>Disku masīvs</t>
  </si>
  <si>
    <t>Datori, monitori, printeri</t>
  </si>
  <si>
    <t xml:space="preserve">Skeneri - datu termināls 15 gb </t>
  </si>
  <si>
    <t xml:space="preserve">Pārējie iepriekš neklasificētie pamatlīdzekļi </t>
  </si>
  <si>
    <t xml:space="preserve">Ilgtermiņa ieguldījumi nomātajos pamatlīdzekļos </t>
  </si>
  <si>
    <t>Kopā ieguldījumi</t>
  </si>
  <si>
    <t>i</t>
  </si>
  <si>
    <t xml:space="preserve">     Skaidrojumi par novirzēm ir jāsniedz  sekojošiem Ieguldījumu tāmes pozīciju kodiem: 51000, 52000 un 53000.</t>
  </si>
  <si>
    <t>N.p.k.</t>
  </si>
  <si>
    <t>Atlikums uz pārskata perioda beigām</t>
  </si>
  <si>
    <t>t.sk. summa,
 kurai iestājies
 maks.termiņš</t>
  </si>
  <si>
    <t>Mazāk par 30 dienām kavētie maksājumi</t>
  </si>
  <si>
    <t>30 un vairāk dienas kavētie maksājumi</t>
  </si>
  <si>
    <t>Skaidrojumi</t>
  </si>
  <si>
    <t>1</t>
  </si>
  <si>
    <t>1.</t>
  </si>
  <si>
    <t>1.1.</t>
  </si>
  <si>
    <t>1.1.1.</t>
  </si>
  <si>
    <t>…</t>
  </si>
  <si>
    <t>1.1.2.</t>
  </si>
  <si>
    <t>utt.</t>
  </si>
  <si>
    <t>1.2.</t>
  </si>
  <si>
    <t>1.2.1.</t>
  </si>
  <si>
    <t>1.2.2.</t>
  </si>
  <si>
    <t>1.3.</t>
  </si>
  <si>
    <t>1.3.1.</t>
  </si>
  <si>
    <t>No Veselības norēķinu centra saņemtā investīciju nauda</t>
  </si>
  <si>
    <t>1.3.2.</t>
  </si>
  <si>
    <t xml:space="preserve">No ERAF saņemtā investīcija  (3DP/3.1.5.3.1/11/IPIA/VEC/013) </t>
  </si>
  <si>
    <t xml:space="preserve">No ERAF saņemtā investīcija  (3DP/3.1.5.3.1/10/IPIA/VEC/017) </t>
  </si>
  <si>
    <t xml:space="preserve">No ERAF saņemtā investīcija  (9.3.2.0/17/I/002) </t>
  </si>
  <si>
    <t xml:space="preserve">No NVD projekta līguma Nr. 1936 </t>
  </si>
  <si>
    <t xml:space="preserve">No NVD projekta līguma Nr. 2550 </t>
  </si>
  <si>
    <t xml:space="preserve">No NVD projekta līguma Nr. 1874 </t>
  </si>
  <si>
    <t>No NVD projekta līguma Nr. 01-11.4/110</t>
  </si>
  <si>
    <t xml:space="preserve">No ERAF saņemtā investīcija  (4.1.1.1/1/23/I/002) </t>
  </si>
  <si>
    <t>1.4.</t>
  </si>
  <si>
    <t>Citi kreditori</t>
  </si>
  <si>
    <t>1.4.1.</t>
  </si>
  <si>
    <t>LAGRON SIA</t>
  </si>
  <si>
    <t>Garantijas summa 5% projektiem</t>
  </si>
  <si>
    <t>1.4.2.</t>
  </si>
  <si>
    <t>Elanus Medical Latvija SIA</t>
  </si>
  <si>
    <t>2.</t>
  </si>
  <si>
    <t>2.1.</t>
  </si>
  <si>
    <t>2.1.1.</t>
  </si>
  <si>
    <t>2.1.2.</t>
  </si>
  <si>
    <t>2.2.</t>
  </si>
  <si>
    <t>2.2.1.</t>
  </si>
  <si>
    <t>2.2.2.</t>
  </si>
  <si>
    <t>2.3.</t>
  </si>
  <si>
    <t xml:space="preserve">No pircējiem saņemtie avansi </t>
  </si>
  <si>
    <t>2.3.1.</t>
  </si>
  <si>
    <t>Fiziskas personas (pacienti )</t>
  </si>
  <si>
    <t>Fiziskao personu - pacientu 117 gb priekšapmaksa maksas operācijām un maksas konsultācijām attālināti.</t>
  </si>
  <si>
    <t>2.3.2.</t>
  </si>
  <si>
    <t>Nodrošinājuma nauda par izsoli</t>
  </si>
  <si>
    <t>Nacionālais veselības dienests - avanss</t>
  </si>
  <si>
    <t>2.4.</t>
  </si>
  <si>
    <r>
      <t xml:space="preserve">Parādi piegādātājiem un darbuzņēmējiem </t>
    </r>
    <r>
      <rPr>
        <b/>
        <vertAlign val="superscript"/>
        <sz val="12"/>
        <rFont val="Times New Roman"/>
        <family val="1"/>
      </rPr>
      <t>1</t>
    </r>
  </si>
  <si>
    <t>2.4.1.</t>
  </si>
  <si>
    <t>Johnson &amp; Johnson AB Latvijas filiāle SIA</t>
  </si>
  <si>
    <t>Medicīnas preces</t>
  </si>
  <si>
    <t>2.4.2.</t>
  </si>
  <si>
    <t>Baltrade Oy</t>
  </si>
  <si>
    <t>Elanus Medical Latvia, SIA</t>
  </si>
  <si>
    <t>Artropulss SIA</t>
  </si>
  <si>
    <t>Arbor Medical Korporācija, SIA</t>
  </si>
  <si>
    <t>Pārējie - 102 gb</t>
  </si>
  <si>
    <t>2.5.</t>
  </si>
  <si>
    <t>Nodokļi un sociālās nodroš.maksājumi</t>
  </si>
  <si>
    <t>2.5.1.</t>
  </si>
  <si>
    <t>Sociālās apdrošināšanas iemaksas</t>
  </si>
  <si>
    <t>2.5.2.</t>
  </si>
  <si>
    <t>Iedzīvotāju ienākuma nodoklis</t>
  </si>
  <si>
    <t>2.5.3.</t>
  </si>
  <si>
    <t>Pievienotās vērtības nodoklis</t>
  </si>
  <si>
    <t>2.5.4.</t>
  </si>
  <si>
    <t>Uzņēmējdarbības riska nodeva</t>
  </si>
  <si>
    <t>Nekustamā īpašuma nodoklis</t>
  </si>
  <si>
    <t>2.6.</t>
  </si>
  <si>
    <t xml:space="preserve">Pārējie kreditori </t>
  </si>
  <si>
    <t>2.6.1.</t>
  </si>
  <si>
    <t>Neizmaksātās darba algas</t>
  </si>
  <si>
    <t>2.6.2.</t>
  </si>
  <si>
    <t xml:space="preserve">Pārējie kreditori   - 4 gb                                                  </t>
  </si>
  <si>
    <t>2.7.</t>
  </si>
  <si>
    <t>2.7.1.</t>
  </si>
  <si>
    <t>2.7.2.</t>
  </si>
  <si>
    <t>2.8.</t>
  </si>
  <si>
    <t>2.8.1.</t>
  </si>
  <si>
    <t xml:space="preserve">Darbinieku neizmantotie atvaļinājumi par pārskata gadu </t>
  </si>
  <si>
    <t>Uzkrātās saistības ar piegādātājiem</t>
  </si>
  <si>
    <t>Debitori</t>
  </si>
  <si>
    <r>
      <t>Pircēju,pasūtītāju parādi</t>
    </r>
    <r>
      <rPr>
        <i/>
        <sz val="12"/>
        <rFont val="Times New Roman"/>
        <family val="1"/>
      </rPr>
      <t xml:space="preserve"> </t>
    </r>
    <r>
      <rPr>
        <b/>
        <vertAlign val="superscript"/>
        <sz val="12"/>
        <rFont val="Times New Roman"/>
        <family val="1"/>
      </rPr>
      <t>2</t>
    </r>
  </si>
  <si>
    <t>Nacionālais veselības dienests</t>
  </si>
  <si>
    <t>Stacionārie medicīniskie pakalpojumi</t>
  </si>
  <si>
    <t>Latvijas Universitāte</t>
  </si>
  <si>
    <t>Nomas pakalpojumiem un rezidentu apmācība</t>
  </si>
  <si>
    <t>Ambulatorie medicīniskie pakalpojumi</t>
  </si>
  <si>
    <t>Rīgas Stradiņa universitāte</t>
  </si>
  <si>
    <t>Rezidentu apmācība</t>
  </si>
  <si>
    <t>c/o PAREXEL International (IRL) Limited</t>
  </si>
  <si>
    <t>Pakalpojums par projektu</t>
  </si>
  <si>
    <t xml:space="preserve">Pārējie -  7436 gb </t>
  </si>
  <si>
    <t>Uzkrājumi veidoti EUR 249763</t>
  </si>
  <si>
    <t>Radniecīgo uzņēmumu parādi</t>
  </si>
  <si>
    <t>3.</t>
  </si>
  <si>
    <t>Citi debitori</t>
  </si>
  <si>
    <t>3.1.</t>
  </si>
  <si>
    <t>Drošības naudas un maiņas naudas kasēs</t>
  </si>
  <si>
    <t>Maiņas naudas kasēs</t>
  </si>
  <si>
    <t>3.2.</t>
  </si>
  <si>
    <t>Latvijas Pasts, VENDEN SIA</t>
  </si>
  <si>
    <t>Drošības nauda</t>
  </si>
  <si>
    <t>4.</t>
  </si>
  <si>
    <r>
      <t xml:space="preserve">Nākamo periodu izmaksas </t>
    </r>
    <r>
      <rPr>
        <b/>
        <vertAlign val="superscript"/>
        <sz val="12"/>
        <rFont val="Times New Roman"/>
        <family val="1"/>
      </rPr>
      <t>2</t>
    </r>
  </si>
  <si>
    <t>4.1.</t>
  </si>
  <si>
    <t>DPA SIA</t>
  </si>
  <si>
    <t>Licenšu noma</t>
  </si>
  <si>
    <t>4.2.</t>
  </si>
  <si>
    <t>Visma Enterprise SIA</t>
  </si>
  <si>
    <t>Horizon programmatūras abonēšanas maksa</t>
  </si>
  <si>
    <t>4.3.</t>
  </si>
  <si>
    <t>Gjensidige, ADB Latvijas filiāle</t>
  </si>
  <si>
    <t>Nekustamā īpašuma apdrošināšana</t>
  </si>
  <si>
    <t>4.4.</t>
  </si>
  <si>
    <t>OptiCom SIA</t>
  </si>
  <si>
    <t>Antivīrusa programmas uzturēšana, programmatūras pakalpojumi</t>
  </si>
  <si>
    <t>4.5.</t>
  </si>
  <si>
    <t>Datamed SIA</t>
  </si>
  <si>
    <t>MediCad hospital produktu grupas licences uzturēšana</t>
  </si>
  <si>
    <t>Pārējie - 16 gb</t>
  </si>
  <si>
    <t>5.</t>
  </si>
  <si>
    <r>
      <t xml:space="preserve">Uzkrātie ieņēmumi </t>
    </r>
    <r>
      <rPr>
        <b/>
        <vertAlign val="superscript"/>
        <sz val="12"/>
        <rFont val="Times New Roman"/>
        <family val="1"/>
      </rPr>
      <t>2</t>
    </r>
  </si>
  <si>
    <t>5.1.</t>
  </si>
  <si>
    <t>5.2.</t>
  </si>
  <si>
    <t>6.</t>
  </si>
  <si>
    <t xml:space="preserve">Pārējie debitori </t>
  </si>
  <si>
    <r>
      <rPr>
        <vertAlign val="superscript"/>
        <sz val="12"/>
        <rFont val="Times New Roman"/>
        <family val="1"/>
      </rPr>
      <t>1</t>
    </r>
    <r>
      <rPr>
        <sz val="12"/>
        <rFont val="Times New Roman"/>
        <family val="1"/>
      </rPr>
      <t xml:space="preserve"> jānorāda 5 lielākos kreditorus, visus kavētos maksājumus un pārējo kreditoru kopsummu un kreditoru skaitu</t>
    </r>
  </si>
  <si>
    <r>
      <rPr>
        <vertAlign val="superscript"/>
        <sz val="12"/>
        <rFont val="Times New Roman"/>
        <family val="1"/>
      </rPr>
      <t>2</t>
    </r>
    <r>
      <rPr>
        <sz val="12"/>
        <rFont val="Times New Roman"/>
        <family val="1"/>
      </rPr>
      <t xml:space="preserve"> jānorāda 5 lielākos debitorus, visus kavētos maksājumus, pacientu parādu kopsummu un pārējo debitoru kopsummu un debitoru skaitu</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</si>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</sst>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 numFmtId="168" formatCode="#,##0\ _€"/>
    <numFmt numFmtId="169" formatCode="0.0"/>
  </numFmts>
  <fonts count="83"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sz val="14"/>
      <name val="Times New Roman"/>
      <family val="1"/>
      <charset val="186"/>
    </font>
    <font>
      <sz val="14"/>
      <name val="Times New Roman"/>
      <family val="1"/>
      <charset val="186"/>
    </font>
    <font>
      <b/>
      <sz val="12"/>
      <name val="Times New Roman"/>
      <family val="1"/>
    </font>
    <font>
      <sz val="12"/>
      <name val="Times New Roman"/>
      <family val="1"/>
    </font>
    <font>
      <i/>
      <sz val="12"/>
      <name val="Times New Roman"/>
      <family val="1"/>
    </font>
    <font>
      <sz val="8"/>
      <name val="Arial"/>
      <family val="2"/>
      <charset val="186"/>
    </font>
    <font>
      <vertAlign val="superscript"/>
      <sz val="12"/>
      <name val="Times New Roman"/>
      <family val="1"/>
    </font>
    <font>
      <b/>
      <i/>
      <sz val="12"/>
      <name val="Times New Roman"/>
      <family val="1"/>
    </font>
    <font>
      <u/>
      <sz val="12"/>
      <name val="Times New Roman"/>
      <family val="1"/>
    </font>
    <font>
      <b/>
      <u/>
      <sz val="12"/>
      <name val="Times New Roman"/>
      <family val="1"/>
    </font>
    <font>
      <sz val="12"/>
      <color theme="1"/>
      <name val="Calibri"/>
      <family val="2"/>
      <charset val="186"/>
      <scheme val="minor"/>
    </font>
    <font>
      <i/>
      <vertAlign val="superscript"/>
      <sz val="12"/>
      <name val="Times New Roman"/>
      <family val="1"/>
    </font>
    <font>
      <b/>
      <sz val="12"/>
      <color rgb="FF414142"/>
      <name val="Times New Roman"/>
      <family val="1"/>
    </font>
    <font>
      <b/>
      <sz val="12"/>
      <name val="Times New Roman"/>
      <family val="1"/>
      <charset val="186"/>
    </font>
    <font>
      <i/>
      <sz val="12"/>
      <name val="Times New Roman"/>
      <family val="1"/>
      <charset val="186"/>
    </font>
    <font>
      <b/>
      <i/>
      <sz val="12"/>
      <name val="Times New Roman"/>
      <family val="1"/>
      <charset val="186"/>
    </font>
    <font>
      <u/>
      <sz val="12"/>
      <name val="Times New Roman"/>
      <family val="1"/>
      <charset val="186"/>
    </font>
    <font>
      <sz val="12"/>
      <name val="Arial"/>
      <family val="2"/>
      <charset val="186"/>
    </font>
    <font>
      <b/>
      <sz val="14"/>
      <name val="Arial"/>
      <family val="2"/>
      <charset val="186"/>
    </font>
    <font>
      <b/>
      <vertAlign val="superscript"/>
      <sz val="12"/>
      <name val="Times New Roman"/>
      <family val="1"/>
    </font>
    <font>
      <sz val="12"/>
      <color rgb="FF000000"/>
      <name val="Times New Roman"/>
      <family val="1"/>
      <charset val="186"/>
    </font>
    <font>
      <sz val="12"/>
      <color rgb="FF000000"/>
      <name val="Times New Roman"/>
      <family val="1"/>
    </font>
    <font>
      <i/>
      <sz val="11"/>
      <color rgb="FF000000"/>
      <name val="Aptos"/>
      <family val="2"/>
      <charset val="1"/>
    </font>
    <font>
      <i/>
      <sz val="12"/>
      <color rgb="FF000000"/>
      <name val="Times New Roman"/>
      <family val="1"/>
      <charset val="186"/>
    </font>
    <font>
      <b/>
      <sz val="12"/>
      <color rgb="FF000000"/>
      <name val="Times New Roman"/>
      <family val="1"/>
    </font>
    <font>
      <i/>
      <sz val="12"/>
      <color rgb="FF000000"/>
      <name val="Times New Roman"/>
      <family val="1"/>
    </font>
    <font>
      <i/>
      <sz val="12"/>
      <color rgb="FF000000"/>
      <name val="Times New Roman"/>
      <family val="1"/>
      <charset val="186"/>
    </font>
    <font>
      <b/>
      <sz val="12"/>
      <color rgb="FF000000"/>
      <name val="Times New Roman"/>
      <family val="1"/>
      <charset val="186"/>
    </font>
    <font>
      <sz val="12"/>
      <name val="Times New Roman"/>
      <family val="1"/>
      <charset val="186"/>
    </font>
    <font>
      <sz val="12"/>
      <color rgb="FF000000"/>
      <name val="Times New Roman"/>
      <family val="1"/>
      <charset val="186"/>
    </font>
    <font>
      <i/>
      <sz val="10"/>
      <name val="Cambria"/>
      <family val="1"/>
      <charset val="1"/>
    </font>
    <font>
      <i/>
      <sz val="12"/>
      <name val="Times New Roman"/>
      <family val="1"/>
      <charset val="1"/>
    </font>
    <font>
      <b/>
      <i/>
      <sz val="12"/>
      <name val="Times New Roman"/>
      <family val="1"/>
      <charset val="186"/>
    </font>
    <font>
      <vertAlign val="superscript"/>
      <sz val="12"/>
      <color rgb="FF000000"/>
      <name val="Times New Roman"/>
      <family val="1"/>
      <charset val="186"/>
    </font>
    <font>
      <sz val="12"/>
      <color rgb="FF000000"/>
      <name val="Times New Roman"/>
      <family val="1"/>
      <charset val="186"/>
    </font>
    <font>
      <b/>
      <i/>
      <sz val="12"/>
      <color rgb="FF000000"/>
      <name val="Times New Roman"/>
      <family val="1"/>
    </font>
    <font>
      <vertAlign val="superscript"/>
      <sz val="12"/>
      <color rgb="FF000000"/>
      <name val="Times New Roman"/>
      <family val="1"/>
    </font>
    <font>
      <u/>
      <sz val="12"/>
      <color rgb="FF000000"/>
      <name val="Times New Roman"/>
      <family val="1"/>
    </font>
    <font>
      <sz val="12"/>
      <color rgb="FF000000"/>
      <name val="Aptos Narrow"/>
      <family val="2"/>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FF"/>
        <bgColor rgb="FF000000"/>
      </patternFill>
    </fill>
    <fill>
      <patternFill patternType="solid">
        <fgColor rgb="FF92D050"/>
        <bgColor rgb="FF000000"/>
      </patternFill>
    </fill>
    <fill>
      <patternFill patternType="solid">
        <fgColor theme="0" tint="-4.9989318521683403E-2"/>
        <bgColor indexed="64"/>
      </patternFill>
    </fill>
    <fill>
      <patternFill patternType="solid">
        <fgColor rgb="FFDDEBF7"/>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diagonalUp="1" diagonalDown="1">
      <left style="thin">
        <color indexed="64"/>
      </left>
      <right style="thin">
        <color indexed="64"/>
      </right>
      <top style="thin">
        <color indexed="64"/>
      </top>
      <bottom/>
      <diagonal style="thin">
        <color indexed="64"/>
      </diagonal>
    </border>
    <border>
      <left/>
      <right/>
      <top style="thin">
        <color rgb="FF000000"/>
      </top>
      <bottom/>
      <diagonal/>
    </border>
  </borders>
  <cellStyleXfs count="1468">
    <xf numFmtId="0" fontId="0" fillId="0" borderId="0"/>
    <xf numFmtId="0" fontId="6" fillId="0" borderId="0"/>
    <xf numFmtId="0" fontId="6" fillId="0" borderId="0"/>
    <xf numFmtId="0" fontId="5" fillId="0" borderId="0"/>
    <xf numFmtId="0" fontId="4" fillId="0" borderId="0"/>
    <xf numFmtId="0" fontId="6" fillId="0" borderId="0"/>
    <xf numFmtId="0" fontId="6" fillId="0" borderId="0"/>
    <xf numFmtId="0" fontId="3" fillId="0" borderId="0"/>
    <xf numFmtId="0" fontId="2"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27" fillId="0" borderId="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41" fontId="6" fillId="0" borderId="0" applyFont="0" applyFill="0" applyBorder="0" applyAlignment="0" applyProtection="0"/>
    <xf numFmtId="165" fontId="10"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17" fillId="0" borderId="15"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18" fillId="0" borderId="17"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19" fillId="0" borderId="19"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7" borderId="13" applyNumberFormat="0" applyAlignment="0" applyProtection="0"/>
    <xf numFmtId="0" fontId="20" fillId="7"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10"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10" fillId="0" borderId="0"/>
    <xf numFmtId="0" fontId="10" fillId="0" borderId="0"/>
    <xf numFmtId="0" fontId="6" fillId="0" borderId="0"/>
    <xf numFmtId="0" fontId="33"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1" fillId="0" borderId="0"/>
    <xf numFmtId="0" fontId="1"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3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35" fillId="0" borderId="0" applyFont="0" applyFill="0" applyAlignment="0" applyProtection="0"/>
    <xf numFmtId="0" fontId="35" fillId="0" borderId="0" applyFont="0" applyFill="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33" fillId="11" borderId="22" applyNumberFormat="0" applyFont="0" applyAlignment="0" applyProtection="0"/>
    <xf numFmtId="0" fontId="3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4"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4"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xf numFmtId="0" fontId="6" fillId="0" borderId="0"/>
  </cellStyleXfs>
  <cellXfs count="812">
    <xf numFmtId="0" fontId="0" fillId="0" borderId="0" xfId="0"/>
    <xf numFmtId="3" fontId="40" fillId="0" borderId="0" xfId="0" applyNumberFormat="1" applyFont="1" applyAlignment="1">
      <alignment vertical="center"/>
    </xf>
    <xf numFmtId="3" fontId="41" fillId="0" borderId="0" xfId="0" applyNumberFormat="1" applyFont="1" applyAlignment="1">
      <alignment vertical="center"/>
    </xf>
    <xf numFmtId="3" fontId="43" fillId="0" borderId="0" xfId="0" applyNumberFormat="1" applyFont="1" applyAlignment="1">
      <alignment vertical="center"/>
    </xf>
    <xf numFmtId="3" fontId="40" fillId="0" borderId="0" xfId="0" applyNumberFormat="1" applyFont="1" applyAlignment="1">
      <alignment horizontal="center" vertical="center"/>
    </xf>
    <xf numFmtId="0" fontId="39" fillId="0" borderId="0" xfId="0" applyFont="1" applyAlignment="1">
      <alignment vertical="center"/>
    </xf>
    <xf numFmtId="0" fontId="39" fillId="0" borderId="0" xfId="1467" applyFont="1" applyAlignment="1">
      <alignment vertical="center"/>
    </xf>
    <xf numFmtId="0" fontId="45" fillId="0" borderId="0" xfId="1467" applyFont="1" applyAlignment="1" applyProtection="1">
      <alignment vertical="center"/>
      <protection locked="0"/>
    </xf>
    <xf numFmtId="0" fontId="45" fillId="0" borderId="0" xfId="1467" applyFont="1" applyAlignment="1">
      <alignment vertical="center"/>
    </xf>
    <xf numFmtId="0" fontId="45" fillId="0" borderId="0" xfId="1467" applyFont="1" applyAlignment="1">
      <alignment horizontal="center" vertical="center"/>
    </xf>
    <xf numFmtId="0" fontId="40"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wrapText="1"/>
    </xf>
    <xf numFmtId="0" fontId="42" fillId="0" borderId="0" xfId="0" applyFont="1" applyAlignment="1">
      <alignment horizontal="center" vertical="center"/>
    </xf>
    <xf numFmtId="3" fontId="47" fillId="0" borderId="1" xfId="6" applyNumberFormat="1" applyFont="1" applyBorder="1" applyAlignment="1">
      <alignment vertical="center" wrapText="1"/>
    </xf>
    <xf numFmtId="3" fontId="47" fillId="2" borderId="1" xfId="6" applyNumberFormat="1" applyFont="1" applyFill="1" applyBorder="1" applyAlignment="1">
      <alignment vertical="center" wrapText="1"/>
    </xf>
    <xf numFmtId="49" fontId="47" fillId="0" borderId="1" xfId="1" applyNumberFormat="1" applyFont="1" applyBorder="1" applyAlignment="1">
      <alignment horizontal="center" vertical="center"/>
    </xf>
    <xf numFmtId="3" fontId="47" fillId="0" borderId="1" xfId="0" applyNumberFormat="1" applyFont="1" applyBorder="1" applyAlignment="1" applyProtection="1">
      <alignment horizontal="right" vertical="center"/>
      <protection locked="0"/>
    </xf>
    <xf numFmtId="0" fontId="44" fillId="0" borderId="0" xfId="1467" applyFont="1" applyAlignment="1">
      <alignment horizontal="center" vertical="center"/>
    </xf>
    <xf numFmtId="0" fontId="44" fillId="0" borderId="0" xfId="1467" applyFont="1" applyAlignment="1">
      <alignment vertical="center" wrapText="1"/>
    </xf>
    <xf numFmtId="3" fontId="44" fillId="0" borderId="0" xfId="1467" applyNumberFormat="1" applyFont="1" applyAlignment="1">
      <alignment horizontal="center" vertical="center"/>
    </xf>
    <xf numFmtId="49" fontId="44" fillId="0" borderId="0" xfId="1467" applyNumberFormat="1" applyFont="1" applyAlignment="1">
      <alignment horizontal="center" vertical="center"/>
    </xf>
    <xf numFmtId="0" fontId="47" fillId="0" borderId="1" xfId="1467" applyFont="1" applyBorder="1" applyAlignment="1">
      <alignment horizontal="center" vertical="center"/>
    </xf>
    <xf numFmtId="3" fontId="47" fillId="0" borderId="1" xfId="0" applyNumberFormat="1" applyFont="1" applyBorder="1" applyAlignment="1">
      <alignment horizontal="center" vertical="center" wrapText="1"/>
    </xf>
    <xf numFmtId="3" fontId="48" fillId="3" borderId="1" xfId="0" applyNumberFormat="1" applyFont="1" applyFill="1" applyBorder="1" applyAlignment="1">
      <alignment horizontal="center" vertical="center" wrapText="1"/>
    </xf>
    <xf numFmtId="166" fontId="48" fillId="3" borderId="1" xfId="12" applyNumberFormat="1" applyFont="1" applyFill="1" applyBorder="1" applyAlignment="1" applyProtection="1">
      <alignment horizontal="center" vertical="center" wrapText="1"/>
    </xf>
    <xf numFmtId="3" fontId="48" fillId="3" borderId="1" xfId="12" applyNumberFormat="1" applyFont="1" applyFill="1" applyBorder="1" applyAlignment="1" applyProtection="1">
      <alignment horizontal="center" vertical="center" wrapText="1"/>
    </xf>
    <xf numFmtId="9" fontId="48" fillId="0" borderId="1" xfId="12" applyFont="1" applyFill="1" applyBorder="1" applyAlignment="1" applyProtection="1">
      <alignment horizontal="center" vertical="center"/>
      <protection locked="0"/>
    </xf>
    <xf numFmtId="9" fontId="51" fillId="28" borderId="1" xfId="12" applyFont="1" applyFill="1" applyBorder="1" applyAlignment="1" applyProtection="1">
      <alignment horizontal="center" vertical="center"/>
    </xf>
    <xf numFmtId="3" fontId="52" fillId="0" borderId="0" xfId="0" applyNumberFormat="1" applyFont="1" applyAlignment="1">
      <alignment vertical="center"/>
    </xf>
    <xf numFmtId="3" fontId="47" fillId="2" borderId="1" xfId="6" applyNumberFormat="1" applyFont="1" applyFill="1" applyBorder="1" applyAlignment="1">
      <alignment horizontal="center" vertical="center" wrapText="1"/>
    </xf>
    <xf numFmtId="0" fontId="47" fillId="0" borderId="0" xfId="0" applyFont="1" applyAlignment="1">
      <alignment vertical="center"/>
    </xf>
    <xf numFmtId="0" fontId="47" fillId="0" borderId="1" xfId="0" applyFont="1" applyBorder="1" applyAlignment="1">
      <alignment horizontal="center" vertical="center"/>
    </xf>
    <xf numFmtId="3" fontId="47" fillId="2" borderId="1" xfId="6" applyNumberFormat="1" applyFont="1" applyFill="1" applyBorder="1" applyAlignment="1">
      <alignment horizontal="left" vertical="center" wrapText="1"/>
    </xf>
    <xf numFmtId="0" fontId="47" fillId="0" borderId="0" xfId="0" applyFont="1" applyAlignment="1" applyProtection="1">
      <alignment vertical="center"/>
      <protection locked="0"/>
    </xf>
    <xf numFmtId="3" fontId="47" fillId="0" borderId="1" xfId="6" applyNumberFormat="1" applyFont="1" applyBorder="1" applyAlignment="1">
      <alignment horizontal="left" vertical="center" wrapText="1"/>
    </xf>
    <xf numFmtId="9" fontId="48" fillId="2" borderId="1" xfId="12" applyFont="1" applyFill="1" applyBorder="1" applyAlignment="1" applyProtection="1">
      <alignment horizontal="center" vertical="center"/>
      <protection locked="0"/>
    </xf>
    <xf numFmtId="0" fontId="47" fillId="2" borderId="1" xfId="0" applyFont="1" applyFill="1" applyBorder="1" applyAlignment="1">
      <alignment horizontal="left" vertical="center"/>
    </xf>
    <xf numFmtId="0" fontId="48" fillId="0" borderId="0" xfId="0" applyFont="1" applyAlignment="1" applyProtection="1">
      <alignment horizontal="center" vertical="center"/>
      <protection locked="0"/>
    </xf>
    <xf numFmtId="3" fontId="46" fillId="28" borderId="1" xfId="6" applyNumberFormat="1" applyFont="1" applyFill="1" applyBorder="1" applyAlignment="1">
      <alignment horizontal="left" vertical="center" wrapText="1"/>
    </xf>
    <xf numFmtId="0" fontId="46" fillId="28" borderId="1" xfId="6" applyFont="1" applyFill="1" applyBorder="1" applyAlignment="1">
      <alignment horizontal="left" vertical="center" wrapText="1"/>
    </xf>
    <xf numFmtId="0" fontId="47" fillId="0" borderId="0" xfId="1467" applyFont="1" applyAlignment="1">
      <alignment horizontal="left" vertical="top" wrapText="1"/>
    </xf>
    <xf numFmtId="0" fontId="48" fillId="0" borderId="0" xfId="0" applyFont="1" applyAlignment="1">
      <alignment horizontal="center" vertical="center"/>
    </xf>
    <xf numFmtId="0" fontId="47" fillId="2" borderId="1" xfId="6" applyFont="1" applyFill="1" applyBorder="1" applyAlignment="1">
      <alignment horizontal="center" vertical="center"/>
    </xf>
    <xf numFmtId="0" fontId="47" fillId="2" borderId="1" xfId="6" applyFont="1" applyFill="1" applyBorder="1" applyAlignment="1">
      <alignment vertical="center" wrapText="1"/>
    </xf>
    <xf numFmtId="3" fontId="47" fillId="2" borderId="1" xfId="6" applyNumberFormat="1" applyFont="1" applyFill="1" applyBorder="1" applyAlignment="1">
      <alignment horizontal="right" vertical="center" wrapText="1"/>
    </xf>
    <xf numFmtId="3" fontId="48" fillId="2" borderId="1" xfId="6" applyNumberFormat="1" applyFont="1" applyFill="1" applyBorder="1" applyAlignment="1">
      <alignment horizontal="center" vertical="center" wrapText="1"/>
    </xf>
    <xf numFmtId="9" fontId="48" fillId="2" borderId="1" xfId="12" applyFont="1" applyFill="1" applyBorder="1" applyAlignment="1" applyProtection="1">
      <alignment horizontal="center" vertical="center" wrapText="1"/>
    </xf>
    <xf numFmtId="49" fontId="47" fillId="2" borderId="26" xfId="6" applyNumberFormat="1" applyFont="1" applyFill="1" applyBorder="1" applyAlignment="1">
      <alignment horizontal="left" vertical="center" wrapText="1"/>
    </xf>
    <xf numFmtId="0" fontId="47" fillId="2" borderId="1" xfId="6" applyFont="1" applyFill="1" applyBorder="1" applyAlignment="1">
      <alignment horizontal="left" vertical="center" wrapText="1" indent="3"/>
    </xf>
    <xf numFmtId="49" fontId="47" fillId="2" borderId="4" xfId="6" applyNumberFormat="1" applyFont="1" applyFill="1" applyBorder="1" applyAlignment="1">
      <alignment horizontal="center" vertical="center" wrapText="1"/>
    </xf>
    <xf numFmtId="3" fontId="47" fillId="2" borderId="1" xfId="0" applyNumberFormat="1" applyFont="1" applyFill="1" applyBorder="1" applyAlignment="1">
      <alignment horizontal="left" vertical="center" wrapText="1" indent="3"/>
    </xf>
    <xf numFmtId="3" fontId="47" fillId="2" borderId="1" xfId="0" applyNumberFormat="1" applyFont="1" applyFill="1" applyBorder="1" applyAlignment="1">
      <alignment horizontal="left" vertical="center" wrapText="1"/>
    </xf>
    <xf numFmtId="3" fontId="47" fillId="2" borderId="1" xfId="6" applyNumberFormat="1" applyFont="1" applyFill="1" applyBorder="1" applyAlignment="1">
      <alignment horizontal="right" vertical="center"/>
    </xf>
    <xf numFmtId="3" fontId="48" fillId="2" borderId="1" xfId="6" applyNumberFormat="1" applyFont="1" applyFill="1" applyBorder="1" applyAlignment="1">
      <alignment horizontal="center" vertical="center"/>
    </xf>
    <xf numFmtId="9" fontId="48" fillId="2" borderId="1" xfId="12" applyFont="1" applyFill="1" applyBorder="1" applyAlignment="1" applyProtection="1">
      <alignment horizontal="center" vertical="center"/>
    </xf>
    <xf numFmtId="49" fontId="47" fillId="2" borderId="4" xfId="6" applyNumberFormat="1" applyFont="1" applyFill="1" applyBorder="1" applyAlignment="1">
      <alignment horizontal="center" vertical="center"/>
    </xf>
    <xf numFmtId="0" fontId="47" fillId="2" borderId="1" xfId="6" applyFont="1" applyFill="1" applyBorder="1" applyAlignment="1">
      <alignment horizontal="left" vertical="center" wrapText="1"/>
    </xf>
    <xf numFmtId="3" fontId="47" fillId="2" borderId="1" xfId="6" applyNumberFormat="1" applyFont="1" applyFill="1" applyBorder="1" applyAlignment="1" applyProtection="1">
      <alignment horizontal="right" vertical="center"/>
      <protection locked="0"/>
    </xf>
    <xf numFmtId="3" fontId="48" fillId="2" borderId="1" xfId="6" applyNumberFormat="1" applyFont="1" applyFill="1" applyBorder="1" applyAlignment="1" applyProtection="1">
      <alignment horizontal="center" vertical="center"/>
      <protection locked="0"/>
    </xf>
    <xf numFmtId="49" fontId="47" fillId="2" borderId="1" xfId="6" applyNumberFormat="1" applyFont="1" applyFill="1" applyBorder="1" applyAlignment="1" applyProtection="1">
      <alignment horizontal="left" vertical="center"/>
      <protection locked="0"/>
    </xf>
    <xf numFmtId="3" fontId="47" fillId="2" borderId="1" xfId="1" applyNumberFormat="1" applyFont="1" applyFill="1" applyBorder="1" applyAlignment="1">
      <alignment horizontal="left" vertical="center" wrapText="1"/>
    </xf>
    <xf numFmtId="49" fontId="47" fillId="2" borderId="26" xfId="6" applyNumberFormat="1" applyFont="1" applyFill="1" applyBorder="1" applyAlignment="1">
      <alignment horizontal="left" vertical="center"/>
    </xf>
    <xf numFmtId="0" fontId="47" fillId="0" borderId="1" xfId="0" applyFont="1" applyBorder="1" applyAlignment="1">
      <alignment vertical="center" wrapText="1"/>
    </xf>
    <xf numFmtId="3" fontId="48" fillId="0" borderId="1" xfId="0" applyNumberFormat="1" applyFont="1" applyBorder="1" applyAlignment="1" applyProtection="1">
      <alignment horizontal="center" vertical="center"/>
      <protection locked="0"/>
    </xf>
    <xf numFmtId="49" fontId="47" fillId="0" borderId="1" xfId="0" applyNumberFormat="1" applyFont="1" applyBorder="1" applyAlignment="1" applyProtection="1">
      <alignment horizontal="left" vertical="center"/>
      <protection locked="0"/>
    </xf>
    <xf numFmtId="49" fontId="46" fillId="0" borderId="1" xfId="0" applyNumberFormat="1" applyFont="1" applyBorder="1" applyAlignment="1" applyProtection="1">
      <alignment horizontal="left" vertical="center"/>
      <protection locked="0"/>
    </xf>
    <xf numFmtId="3" fontId="47" fillId="0" borderId="1" xfId="0" applyNumberFormat="1" applyFont="1" applyBorder="1" applyAlignment="1">
      <alignment horizontal="right" vertical="center"/>
    </xf>
    <xf numFmtId="3" fontId="48" fillId="0" borderId="1" xfId="0" applyNumberFormat="1" applyFont="1" applyBorder="1" applyAlignment="1">
      <alignment horizontal="center" vertical="center"/>
    </xf>
    <xf numFmtId="9" fontId="48" fillId="0" borderId="1" xfId="12" applyFont="1" applyFill="1" applyBorder="1" applyAlignment="1" applyProtection="1">
      <alignment horizontal="center" vertical="center"/>
    </xf>
    <xf numFmtId="0" fontId="47" fillId="2" borderId="1" xfId="0" applyFont="1" applyFill="1" applyBorder="1" applyAlignment="1">
      <alignment horizontal="center" vertical="center"/>
    </xf>
    <xf numFmtId="0" fontId="47" fillId="2" borderId="1" xfId="0" applyFont="1" applyFill="1" applyBorder="1" applyAlignment="1">
      <alignment horizontal="left" vertical="center" wrapText="1" indent="3"/>
    </xf>
    <xf numFmtId="3" fontId="47" fillId="2" borderId="1" xfId="0" applyNumberFormat="1" applyFont="1" applyFill="1" applyBorder="1" applyAlignment="1">
      <alignment horizontal="right" vertical="center"/>
    </xf>
    <xf numFmtId="3" fontId="48" fillId="2" borderId="1" xfId="0" applyNumberFormat="1" applyFont="1" applyFill="1" applyBorder="1" applyAlignment="1">
      <alignment horizontal="center" vertical="center"/>
    </xf>
    <xf numFmtId="49" fontId="46" fillId="0" borderId="4" xfId="0" applyNumberFormat="1" applyFont="1" applyBorder="1" applyAlignment="1">
      <alignment horizontal="center" vertical="center"/>
    </xf>
    <xf numFmtId="49" fontId="46" fillId="0" borderId="1" xfId="0" applyNumberFormat="1" applyFont="1" applyBorder="1" applyAlignment="1">
      <alignment vertical="center"/>
    </xf>
    <xf numFmtId="0" fontId="47" fillId="0" borderId="1" xfId="6" applyFont="1" applyBorder="1" applyAlignment="1">
      <alignment horizontal="center" vertical="center"/>
    </xf>
    <xf numFmtId="16" fontId="47" fillId="0" borderId="1" xfId="6" applyNumberFormat="1" applyFont="1" applyBorder="1" applyAlignment="1">
      <alignment vertical="center" wrapText="1"/>
    </xf>
    <xf numFmtId="3" fontId="47" fillId="0" borderId="1" xfId="6" applyNumberFormat="1" applyFont="1" applyBorder="1" applyAlignment="1" applyProtection="1">
      <alignment horizontal="right" vertical="center"/>
      <protection locked="0"/>
    </xf>
    <xf numFmtId="3" fontId="48" fillId="0" borderId="1" xfId="6" applyNumberFormat="1" applyFont="1" applyBorder="1" applyAlignment="1" applyProtection="1">
      <alignment horizontal="center" vertical="center"/>
      <protection locked="0"/>
    </xf>
    <xf numFmtId="49" fontId="46" fillId="0" borderId="1" xfId="6" applyNumberFormat="1" applyFont="1" applyBorder="1" applyAlignment="1" applyProtection="1">
      <alignment horizontal="left" vertical="center"/>
      <protection locked="0"/>
    </xf>
    <xf numFmtId="0" fontId="47" fillId="0" borderId="1" xfId="6" applyFont="1" applyBorder="1" applyAlignment="1">
      <alignment horizontal="center" vertical="center" wrapText="1"/>
    </xf>
    <xf numFmtId="49" fontId="47" fillId="0" borderId="1" xfId="6" applyNumberFormat="1" applyFont="1" applyBorder="1" applyAlignment="1" applyProtection="1">
      <alignment horizontal="left" vertical="center"/>
      <protection locked="0"/>
    </xf>
    <xf numFmtId="0" fontId="46" fillId="0" borderId="1" xfId="6" applyFont="1" applyBorder="1" applyAlignment="1">
      <alignment horizontal="center" vertical="center"/>
    </xf>
    <xf numFmtId="49" fontId="46" fillId="0" borderId="1" xfId="6" applyNumberFormat="1" applyFont="1" applyBorder="1" applyAlignment="1">
      <alignment horizontal="left" vertical="center" wrapText="1"/>
    </xf>
    <xf numFmtId="3" fontId="46" fillId="0" borderId="1" xfId="6" applyNumberFormat="1" applyFont="1" applyBorder="1" applyAlignment="1" applyProtection="1">
      <alignment horizontal="right" vertical="center"/>
      <protection locked="0"/>
    </xf>
    <xf numFmtId="3" fontId="46" fillId="0" borderId="1" xfId="6" applyNumberFormat="1" applyFont="1" applyBorder="1" applyAlignment="1" applyProtection="1">
      <alignment horizontal="right" vertical="center" wrapText="1"/>
      <protection locked="0"/>
    </xf>
    <xf numFmtId="3" fontId="51" fillId="0" borderId="1" xfId="6" applyNumberFormat="1" applyFont="1" applyBorder="1" applyAlignment="1" applyProtection="1">
      <alignment horizontal="center" vertical="center"/>
      <protection locked="0"/>
    </xf>
    <xf numFmtId="9" fontId="51" fillId="0" borderId="1" xfId="12" applyFont="1" applyFill="1" applyBorder="1" applyAlignment="1" applyProtection="1">
      <alignment horizontal="center" vertical="center"/>
      <protection locked="0"/>
    </xf>
    <xf numFmtId="0" fontId="46" fillId="28" borderId="1" xfId="6" applyFont="1" applyFill="1" applyBorder="1" applyAlignment="1">
      <alignment horizontal="center" vertical="center"/>
    </xf>
    <xf numFmtId="3" fontId="46" fillId="28" borderId="1" xfId="6" applyNumberFormat="1" applyFont="1" applyFill="1" applyBorder="1" applyAlignment="1">
      <alignment horizontal="right" vertical="center" wrapText="1"/>
    </xf>
    <xf numFmtId="3" fontId="46" fillId="28" borderId="1" xfId="6" applyNumberFormat="1" applyFont="1" applyFill="1" applyBorder="1" applyAlignment="1">
      <alignment horizontal="right" vertical="center"/>
    </xf>
    <xf numFmtId="3" fontId="51" fillId="28" borderId="1" xfId="6" applyNumberFormat="1" applyFont="1" applyFill="1" applyBorder="1" applyAlignment="1">
      <alignment horizontal="center" vertical="center"/>
    </xf>
    <xf numFmtId="3" fontId="51" fillId="28" borderId="1" xfId="6" applyNumberFormat="1" applyFont="1" applyFill="1" applyBorder="1" applyAlignment="1">
      <alignment horizontal="center" vertical="center" wrapText="1"/>
    </xf>
    <xf numFmtId="9" fontId="51" fillId="28" borderId="1" xfId="12" applyFont="1" applyFill="1" applyBorder="1" applyAlignment="1" applyProtection="1">
      <alignment horizontal="center" vertical="center" wrapText="1"/>
    </xf>
    <xf numFmtId="0" fontId="46" fillId="28" borderId="1" xfId="6" applyFont="1" applyFill="1" applyBorder="1" applyAlignment="1">
      <alignment vertical="center" wrapText="1"/>
    </xf>
    <xf numFmtId="0" fontId="46" fillId="28" borderId="1" xfId="0" applyFont="1" applyFill="1" applyBorder="1" applyAlignment="1">
      <alignment horizontal="center" vertical="center"/>
    </xf>
    <xf numFmtId="0" fontId="46" fillId="28" borderId="1" xfId="0" applyFont="1" applyFill="1" applyBorder="1" applyAlignment="1">
      <alignment vertical="center" wrapText="1"/>
    </xf>
    <xf numFmtId="3" fontId="46" fillId="28" borderId="1" xfId="0" applyNumberFormat="1" applyFont="1" applyFill="1" applyBorder="1" applyAlignment="1">
      <alignment horizontal="right" vertical="center"/>
    </xf>
    <xf numFmtId="3" fontId="51" fillId="28" borderId="1" xfId="0" applyNumberFormat="1" applyFont="1" applyFill="1" applyBorder="1" applyAlignment="1">
      <alignment horizontal="center" vertical="center"/>
    </xf>
    <xf numFmtId="3" fontId="46" fillId="28" borderId="1" xfId="6" applyNumberFormat="1" applyFont="1" applyFill="1" applyBorder="1" applyAlignment="1">
      <alignment vertical="center" wrapText="1"/>
    </xf>
    <xf numFmtId="0" fontId="46" fillId="28" borderId="4" xfId="6" applyFont="1" applyFill="1" applyBorder="1" applyAlignment="1">
      <alignment horizontal="center" vertical="center"/>
    </xf>
    <xf numFmtId="0" fontId="46" fillId="28" borderId="4" xfId="6" applyFont="1" applyFill="1" applyBorder="1" applyAlignment="1">
      <alignment vertical="center" wrapText="1"/>
    </xf>
    <xf numFmtId="3" fontId="46" fillId="28" borderId="4" xfId="6" applyNumberFormat="1" applyFont="1" applyFill="1" applyBorder="1" applyAlignment="1">
      <alignment horizontal="right" vertical="center" wrapText="1"/>
    </xf>
    <xf numFmtId="0" fontId="46" fillId="28" borderId="6" xfId="6" applyFont="1" applyFill="1" applyBorder="1" applyAlignment="1">
      <alignment horizontal="center" vertical="center"/>
    </xf>
    <xf numFmtId="16" fontId="46" fillId="28" borderId="6" xfId="6" applyNumberFormat="1" applyFont="1" applyFill="1" applyBorder="1" applyAlignment="1">
      <alignment vertical="center" wrapText="1"/>
    </xf>
    <xf numFmtId="3" fontId="46" fillId="28" borderId="6" xfId="6" applyNumberFormat="1" applyFont="1" applyFill="1" applyBorder="1" applyAlignment="1">
      <alignment horizontal="right" vertical="center" wrapText="1"/>
    </xf>
    <xf numFmtId="3" fontId="51" fillId="28" borderId="6" xfId="6" applyNumberFormat="1" applyFont="1" applyFill="1" applyBorder="1" applyAlignment="1">
      <alignment horizontal="center" vertical="center" wrapText="1"/>
    </xf>
    <xf numFmtId="0" fontId="46" fillId="28" borderId="1" xfId="6" applyFont="1" applyFill="1" applyBorder="1" applyAlignment="1">
      <alignment horizontal="center" vertical="center" wrapText="1"/>
    </xf>
    <xf numFmtId="49" fontId="46" fillId="28" borderId="1" xfId="6" applyNumberFormat="1" applyFont="1" applyFill="1" applyBorder="1" applyAlignment="1">
      <alignment horizontal="left" vertical="center" wrapText="1"/>
    </xf>
    <xf numFmtId="49" fontId="46" fillId="0" borderId="1" xfId="6" applyNumberFormat="1" applyFont="1" applyBorder="1" applyAlignment="1">
      <alignment horizontal="center" vertical="center" wrapText="1"/>
    </xf>
    <xf numFmtId="3" fontId="47" fillId="2" borderId="1" xfId="0" applyNumberFormat="1" applyFont="1" applyFill="1" applyBorder="1" applyAlignment="1" applyProtection="1">
      <alignment horizontal="right" vertical="center" wrapText="1"/>
      <protection locked="0"/>
    </xf>
    <xf numFmtId="3" fontId="48" fillId="2" borderId="1" xfId="0" applyNumberFormat="1" applyFont="1" applyFill="1" applyBorder="1" applyAlignment="1">
      <alignment horizontal="center" vertical="center" wrapText="1"/>
    </xf>
    <xf numFmtId="166" fontId="48" fillId="2" borderId="1" xfId="12" applyNumberFormat="1" applyFont="1" applyFill="1" applyBorder="1" applyAlignment="1" applyProtection="1">
      <alignment horizontal="center" vertical="center" wrapText="1"/>
    </xf>
    <xf numFmtId="3" fontId="47" fillId="0" borderId="1" xfId="0" applyNumberFormat="1" applyFont="1" applyBorder="1" applyAlignment="1">
      <alignment horizontal="left" vertical="center" wrapText="1"/>
    </xf>
    <xf numFmtId="3" fontId="47" fillId="0" borderId="1" xfId="0" applyNumberFormat="1" applyFont="1" applyBorder="1" applyAlignment="1" applyProtection="1">
      <alignment horizontal="right" vertical="center" wrapText="1"/>
      <protection locked="0"/>
    </xf>
    <xf numFmtId="3" fontId="46" fillId="2" borderId="1" xfId="0" applyNumberFormat="1" applyFont="1" applyFill="1" applyBorder="1" applyAlignment="1">
      <alignment horizontal="left" vertical="center" wrapText="1"/>
    </xf>
    <xf numFmtId="3" fontId="46" fillId="2" borderId="1" xfId="0" applyNumberFormat="1" applyFont="1" applyFill="1" applyBorder="1" applyAlignment="1" applyProtection="1">
      <alignment horizontal="right" vertical="center" wrapText="1"/>
      <protection locked="0"/>
    </xf>
    <xf numFmtId="3" fontId="51" fillId="2" borderId="1" xfId="0" applyNumberFormat="1" applyFont="1" applyFill="1" applyBorder="1" applyAlignment="1">
      <alignment horizontal="center" vertical="center" wrapText="1"/>
    </xf>
    <xf numFmtId="166" fontId="51" fillId="2" borderId="1" xfId="12" applyNumberFormat="1" applyFont="1" applyFill="1" applyBorder="1" applyAlignment="1" applyProtection="1">
      <alignment horizontal="center" vertical="center" wrapText="1"/>
    </xf>
    <xf numFmtId="3" fontId="51" fillId="0" borderId="1" xfId="0" applyNumberFormat="1" applyFont="1" applyBorder="1" applyAlignment="1" applyProtection="1">
      <alignment horizontal="left" vertical="center" wrapText="1"/>
      <protection locked="0"/>
    </xf>
    <xf numFmtId="3" fontId="46" fillId="2" borderId="1" xfId="1" applyNumberFormat="1" applyFont="1" applyFill="1" applyBorder="1" applyAlignment="1">
      <alignment horizontal="left" vertical="center" wrapText="1"/>
    </xf>
    <xf numFmtId="3" fontId="46" fillId="0" borderId="1" xfId="1" applyNumberFormat="1" applyFont="1" applyBorder="1" applyAlignment="1">
      <alignment horizontal="left" vertical="center" wrapText="1"/>
    </xf>
    <xf numFmtId="3" fontId="46" fillId="0" borderId="1" xfId="0" applyNumberFormat="1" applyFont="1" applyBorder="1" applyAlignment="1" applyProtection="1">
      <alignment horizontal="right" vertical="center" wrapText="1"/>
      <protection locked="0"/>
    </xf>
    <xf numFmtId="3" fontId="51" fillId="0" borderId="1" xfId="0" applyNumberFormat="1" applyFont="1" applyBorder="1" applyAlignment="1">
      <alignment horizontal="center" vertical="center" wrapText="1"/>
    </xf>
    <xf numFmtId="166" fontId="51" fillId="0" borderId="1" xfId="12" applyNumberFormat="1" applyFont="1" applyFill="1" applyBorder="1" applyAlignment="1" applyProtection="1">
      <alignment horizontal="center" vertical="center" wrapText="1"/>
    </xf>
    <xf numFmtId="0" fontId="46" fillId="2" borderId="1" xfId="0" applyFont="1" applyFill="1" applyBorder="1" applyAlignment="1">
      <alignment vertical="center" wrapText="1"/>
    </xf>
    <xf numFmtId="0" fontId="47" fillId="2" borderId="1" xfId="0" applyFont="1" applyFill="1" applyBorder="1" applyAlignment="1">
      <alignment vertical="center" wrapText="1"/>
    </xf>
    <xf numFmtId="0" fontId="47" fillId="2" borderId="1" xfId="0" applyFont="1" applyFill="1" applyBorder="1" applyAlignment="1">
      <alignment horizontal="left" vertical="center" wrapText="1"/>
    </xf>
    <xf numFmtId="3" fontId="48" fillId="0" borderId="1" xfId="0" applyNumberFormat="1" applyFont="1" applyBorder="1" applyAlignment="1">
      <alignment horizontal="center" vertical="center" wrapText="1"/>
    </xf>
    <xf numFmtId="166" fontId="48" fillId="0" borderId="1" xfId="12" applyNumberFormat="1" applyFont="1" applyFill="1" applyBorder="1" applyAlignment="1" applyProtection="1">
      <alignment horizontal="center" vertical="center" wrapText="1"/>
    </xf>
    <xf numFmtId="0" fontId="46" fillId="2" borderId="1" xfId="0" applyFont="1" applyFill="1" applyBorder="1" applyAlignment="1">
      <alignment horizontal="left" vertical="center" wrapText="1"/>
    </xf>
    <xf numFmtId="0" fontId="46" fillId="2" borderId="1" xfId="0" applyFont="1" applyFill="1" applyBorder="1" applyAlignment="1" applyProtection="1">
      <alignment horizontal="right" vertical="center" wrapText="1"/>
      <protection locked="0"/>
    </xf>
    <xf numFmtId="3" fontId="48" fillId="0" borderId="1" xfId="0" applyNumberFormat="1" applyFont="1" applyBorder="1" applyAlignment="1" applyProtection="1">
      <alignment horizontal="left" vertical="center" wrapText="1"/>
      <protection locked="0"/>
    </xf>
    <xf numFmtId="0" fontId="46" fillId="2" borderId="1" xfId="0" applyFont="1" applyFill="1" applyBorder="1" applyAlignment="1">
      <alignment horizontal="left" vertical="center"/>
    </xf>
    <xf numFmtId="0" fontId="47" fillId="0" borderId="1" xfId="0" applyFont="1" applyBorder="1" applyAlignment="1">
      <alignment horizontal="left" vertical="center" wrapText="1"/>
    </xf>
    <xf numFmtId="0" fontId="51" fillId="0" borderId="1" xfId="0" applyFont="1" applyBorder="1" applyAlignment="1">
      <alignment horizontal="center" vertical="center" wrapText="1"/>
    </xf>
    <xf numFmtId="3" fontId="51" fillId="0" borderId="1" xfId="0" applyNumberFormat="1" applyFont="1" applyBorder="1" applyAlignment="1">
      <alignment vertical="center" wrapText="1"/>
    </xf>
    <xf numFmtId="3" fontId="47" fillId="0" borderId="1" xfId="0" applyNumberFormat="1" applyFont="1" applyBorder="1" applyAlignment="1">
      <alignment vertical="center"/>
    </xf>
    <xf numFmtId="3" fontId="47" fillId="0" borderId="1" xfId="0" applyNumberFormat="1" applyFont="1" applyBorder="1" applyAlignment="1">
      <alignment vertical="center" wrapText="1"/>
    </xf>
    <xf numFmtId="3" fontId="46" fillId="28" borderId="1" xfId="0" applyNumberFormat="1" applyFont="1" applyFill="1" applyBorder="1" applyAlignment="1">
      <alignment horizontal="right" vertical="center" wrapText="1"/>
    </xf>
    <xf numFmtId="3" fontId="51" fillId="28" borderId="1" xfId="0" applyNumberFormat="1" applyFont="1" applyFill="1" applyBorder="1" applyAlignment="1">
      <alignment horizontal="center" vertical="center" wrapText="1"/>
    </xf>
    <xf numFmtId="166" fontId="51" fillId="28" borderId="1" xfId="12" applyNumberFormat="1" applyFont="1" applyFill="1" applyBorder="1" applyAlignment="1" applyProtection="1">
      <alignment horizontal="center" vertical="center" wrapText="1"/>
    </xf>
    <xf numFmtId="3" fontId="46" fillId="28" borderId="1" xfId="0" applyNumberFormat="1" applyFont="1" applyFill="1" applyBorder="1" applyAlignment="1">
      <alignment horizontal="left" vertical="center" wrapText="1"/>
    </xf>
    <xf numFmtId="0" fontId="46" fillId="28" borderId="1" xfId="0" applyFont="1" applyFill="1" applyBorder="1" applyAlignment="1">
      <alignment horizontal="right" vertical="center" wrapText="1"/>
    </xf>
    <xf numFmtId="0" fontId="46" fillId="28" borderId="1" xfId="0" applyFont="1" applyFill="1" applyBorder="1" applyAlignment="1">
      <alignment horizontal="left" vertical="center" wrapText="1"/>
    </xf>
    <xf numFmtId="3" fontId="51" fillId="0" borderId="4" xfId="0" applyNumberFormat="1" applyFont="1" applyBorder="1" applyAlignment="1">
      <alignment horizontal="center" vertical="center" wrapText="1"/>
    </xf>
    <xf numFmtId="3" fontId="47" fillId="0" borderId="0" xfId="0" applyNumberFormat="1" applyFont="1" applyAlignment="1">
      <alignment horizontal="left" vertical="center" wrapText="1"/>
    </xf>
    <xf numFmtId="3" fontId="53" fillId="28" borderId="1" xfId="0" applyNumberFormat="1" applyFont="1" applyFill="1" applyBorder="1" applyAlignment="1">
      <alignment horizontal="right" vertical="center" wrapText="1"/>
    </xf>
    <xf numFmtId="3" fontId="51" fillId="28" borderId="26" xfId="0" applyNumberFormat="1" applyFont="1" applyFill="1" applyBorder="1" applyAlignment="1">
      <alignment horizontal="left" vertical="center" wrapText="1"/>
    </xf>
    <xf numFmtId="0" fontId="46" fillId="28" borderId="1" xfId="0" applyFont="1" applyFill="1" applyBorder="1" applyAlignment="1">
      <alignment horizontal="center" vertical="center" wrapText="1"/>
    </xf>
    <xf numFmtId="3" fontId="47" fillId="0" borderId="0" xfId="0" applyNumberFormat="1" applyFont="1" applyAlignment="1">
      <alignment vertical="center"/>
    </xf>
    <xf numFmtId="3" fontId="47" fillId="0" borderId="0" xfId="0" applyNumberFormat="1" applyFont="1" applyAlignment="1">
      <alignment horizontal="center" vertical="center"/>
    </xf>
    <xf numFmtId="9" fontId="48" fillId="28" borderId="1" xfId="12" applyFont="1" applyFill="1" applyBorder="1" applyAlignment="1" applyProtection="1">
      <alignment horizontal="center" vertical="center"/>
      <protection locked="0"/>
    </xf>
    <xf numFmtId="0" fontId="48" fillId="0" borderId="0" xfId="0" applyFont="1" applyAlignment="1">
      <alignment vertical="center"/>
    </xf>
    <xf numFmtId="0" fontId="51" fillId="0" borderId="0" xfId="0" applyFont="1" applyAlignment="1">
      <alignment vertical="center"/>
    </xf>
    <xf numFmtId="3" fontId="46" fillId="0" borderId="0" xfId="6" applyNumberFormat="1" applyFont="1" applyAlignment="1" applyProtection="1">
      <alignment horizontal="right" vertical="center"/>
      <protection locked="0"/>
    </xf>
    <xf numFmtId="3" fontId="51" fillId="0" borderId="0" xfId="6" applyNumberFormat="1" applyFont="1" applyAlignment="1" applyProtection="1">
      <alignment horizontal="center" vertical="center"/>
      <protection locked="0"/>
    </xf>
    <xf numFmtId="9" fontId="51" fillId="0" borderId="0" xfId="12" applyFont="1" applyFill="1" applyBorder="1" applyAlignment="1" applyProtection="1">
      <alignment horizontal="center" vertical="center"/>
      <protection locked="0"/>
    </xf>
    <xf numFmtId="49" fontId="46" fillId="0" borderId="0" xfId="6" applyNumberFormat="1" applyFont="1" applyAlignment="1">
      <alignment horizontal="center" vertical="center"/>
    </xf>
    <xf numFmtId="0" fontId="47" fillId="0" borderId="0" xfId="0" applyFont="1" applyAlignment="1">
      <alignment horizontal="center" vertical="center"/>
    </xf>
    <xf numFmtId="0" fontId="47" fillId="0" borderId="0" xfId="0" applyFont="1" applyAlignment="1">
      <alignment horizontal="right" vertical="center"/>
    </xf>
    <xf numFmtId="3" fontId="47" fillId="0" borderId="1" xfId="1" applyNumberFormat="1" applyFont="1" applyBorder="1" applyAlignment="1">
      <alignment horizontal="center" vertical="center" wrapText="1"/>
    </xf>
    <xf numFmtId="0" fontId="47" fillId="0" borderId="1" xfId="6" applyFont="1" applyBorder="1" applyAlignment="1">
      <alignment horizontal="left" vertical="center" wrapText="1"/>
    </xf>
    <xf numFmtId="3" fontId="47" fillId="0" borderId="1" xfId="6" applyNumberFormat="1" applyFont="1" applyBorder="1" applyAlignment="1">
      <alignment horizontal="right" vertical="center" wrapText="1"/>
    </xf>
    <xf numFmtId="3" fontId="48" fillId="0" borderId="1" xfId="6" applyNumberFormat="1" applyFont="1" applyBorder="1" applyAlignment="1">
      <alignment horizontal="center" vertical="center" wrapText="1"/>
    </xf>
    <xf numFmtId="9" fontId="48" fillId="0" borderId="1" xfId="12" applyFont="1" applyFill="1" applyBorder="1" applyAlignment="1" applyProtection="1">
      <alignment horizontal="center" vertical="center" wrapText="1"/>
    </xf>
    <xf numFmtId="0" fontId="47" fillId="4" borderId="1" xfId="0" applyFont="1" applyFill="1" applyBorder="1" applyAlignment="1">
      <alignment horizontal="center" vertical="center" wrapText="1"/>
    </xf>
    <xf numFmtId="0" fontId="47" fillId="4" borderId="1" xfId="0" applyFont="1" applyFill="1" applyBorder="1" applyAlignment="1">
      <alignment horizontal="left" vertical="center" wrapText="1"/>
    </xf>
    <xf numFmtId="0" fontId="47" fillId="4" borderId="10" xfId="0" applyFont="1" applyFill="1" applyBorder="1" applyAlignment="1">
      <alignment horizontal="center" vertical="center" wrapText="1"/>
    </xf>
    <xf numFmtId="0" fontId="47" fillId="4" borderId="10" xfId="0" applyFont="1" applyFill="1" applyBorder="1" applyAlignment="1">
      <alignment horizontal="left" vertical="center" wrapText="1"/>
    </xf>
    <xf numFmtId="3" fontId="47" fillId="0" borderId="1" xfId="6" applyNumberFormat="1" applyFont="1" applyBorder="1" applyAlignment="1" applyProtection="1">
      <alignment horizontal="right" vertical="center" wrapText="1"/>
      <protection locked="0"/>
    </xf>
    <xf numFmtId="0" fontId="47" fillId="4" borderId="11" xfId="0" applyFont="1" applyFill="1" applyBorder="1" applyAlignment="1">
      <alignment horizontal="center" vertical="center" wrapText="1"/>
    </xf>
    <xf numFmtId="0" fontId="47" fillId="4" borderId="11" xfId="0" applyFont="1" applyFill="1" applyBorder="1" applyAlignment="1">
      <alignment horizontal="left" vertical="center" wrapText="1"/>
    </xf>
    <xf numFmtId="0" fontId="47" fillId="0" borderId="10" xfId="0" applyFont="1" applyBorder="1" applyAlignment="1">
      <alignment horizontal="center" vertical="center" wrapText="1"/>
    </xf>
    <xf numFmtId="0" fontId="47" fillId="0" borderId="10" xfId="0" applyFont="1" applyBorder="1" applyAlignment="1">
      <alignment horizontal="left" vertical="center" wrapText="1"/>
    </xf>
    <xf numFmtId="3" fontId="47" fillId="0" borderId="0" xfId="6" applyNumberFormat="1" applyFont="1" applyAlignment="1">
      <alignment horizontal="left" vertical="center" wrapText="1"/>
    </xf>
    <xf numFmtId="3" fontId="47" fillId="0" borderId="0" xfId="6" applyNumberFormat="1" applyFont="1" applyAlignment="1">
      <alignment horizontal="right" vertical="center" wrapText="1"/>
    </xf>
    <xf numFmtId="3" fontId="47" fillId="0" borderId="0" xfId="0" applyNumberFormat="1" applyFont="1" applyAlignment="1">
      <alignment horizontal="right" vertical="center"/>
    </xf>
    <xf numFmtId="3" fontId="47" fillId="0" borderId="0" xfId="6" applyNumberFormat="1" applyFont="1" applyAlignment="1">
      <alignment horizontal="right" vertical="center"/>
    </xf>
    <xf numFmtId="3" fontId="48" fillId="0" borderId="0" xfId="0" applyNumberFormat="1" applyFont="1" applyAlignment="1">
      <alignment horizontal="center" vertical="center"/>
    </xf>
    <xf numFmtId="49" fontId="46" fillId="28" borderId="5" xfId="6" applyNumberFormat="1" applyFont="1" applyFill="1" applyBorder="1" applyAlignment="1">
      <alignment horizontal="center" vertical="center"/>
    </xf>
    <xf numFmtId="0" fontId="46" fillId="28" borderId="4" xfId="6" applyFont="1" applyFill="1" applyBorder="1" applyAlignment="1">
      <alignment horizontal="center" vertical="center" wrapText="1"/>
    </xf>
    <xf numFmtId="3" fontId="46" fillId="28" borderId="1" xfId="6" applyNumberFormat="1" applyFont="1" applyFill="1" applyBorder="1" applyAlignment="1">
      <alignment horizontal="center" vertical="center"/>
    </xf>
    <xf numFmtId="49" fontId="47" fillId="0" borderId="5" xfId="6" applyNumberFormat="1" applyFont="1" applyBorder="1" applyAlignment="1">
      <alignment horizontal="center" vertical="center"/>
    </xf>
    <xf numFmtId="0" fontId="47" fillId="0" borderId="4" xfId="6" applyFont="1" applyBorder="1" applyAlignment="1">
      <alignment vertical="center" wrapText="1"/>
    </xf>
    <xf numFmtId="3" fontId="47" fillId="0" borderId="4" xfId="6" applyNumberFormat="1" applyFont="1" applyBorder="1" applyAlignment="1">
      <alignment horizontal="right" vertical="center" wrapText="1"/>
    </xf>
    <xf numFmtId="49" fontId="48" fillId="2" borderId="1" xfId="12" applyNumberFormat="1" applyFont="1" applyFill="1" applyBorder="1" applyAlignment="1" applyProtection="1">
      <alignment horizontal="left" vertical="center"/>
    </xf>
    <xf numFmtId="0" fontId="47" fillId="0" borderId="1" xfId="0" applyFont="1" applyBorder="1" applyAlignment="1">
      <alignment horizontal="left" vertical="center" wrapText="1" indent="2" readingOrder="1"/>
    </xf>
    <xf numFmtId="3" fontId="47" fillId="0" borderId="1" xfId="0" applyNumberFormat="1" applyFont="1" applyBorder="1" applyAlignment="1">
      <alignment horizontal="right" vertical="center" wrapText="1"/>
    </xf>
    <xf numFmtId="49" fontId="47" fillId="0" borderId="5" xfId="6" applyNumberFormat="1" applyFont="1" applyBorder="1" applyAlignment="1">
      <alignment horizontal="right" vertical="center"/>
    </xf>
    <xf numFmtId="0" fontId="48" fillId="0" borderId="1" xfId="0" applyFont="1" applyBorder="1" applyAlignment="1">
      <alignment horizontal="left" vertical="center" wrapText="1" indent="4" readingOrder="1"/>
    </xf>
    <xf numFmtId="0" fontId="47" fillId="0" borderId="6" xfId="0" applyFont="1" applyBorder="1" applyAlignment="1">
      <alignment horizontal="left" vertical="center" wrapText="1" readingOrder="1"/>
    </xf>
    <xf numFmtId="3" fontId="47" fillId="0" borderId="2" xfId="0" applyNumberFormat="1" applyFont="1" applyBorder="1" applyAlignment="1">
      <alignment horizontal="right" vertical="center" wrapText="1"/>
    </xf>
    <xf numFmtId="3" fontId="48" fillId="0" borderId="2" xfId="0" applyNumberFormat="1" applyFont="1" applyBorder="1" applyAlignment="1">
      <alignment horizontal="center" vertical="center" wrapText="1"/>
    </xf>
    <xf numFmtId="3" fontId="47" fillId="0" borderId="2" xfId="12" applyNumberFormat="1" applyFont="1" applyFill="1" applyBorder="1" applyAlignment="1" applyProtection="1">
      <alignment horizontal="right" vertical="center" wrapText="1"/>
    </xf>
    <xf numFmtId="3" fontId="48" fillId="0" borderId="2" xfId="12" applyNumberFormat="1" applyFont="1" applyFill="1" applyBorder="1" applyAlignment="1" applyProtection="1">
      <alignment horizontal="center" vertical="center" wrapText="1"/>
    </xf>
    <xf numFmtId="3" fontId="47" fillId="0" borderId="2" xfId="0" applyNumberFormat="1" applyFont="1" applyBorder="1" applyAlignment="1" applyProtection="1">
      <alignment horizontal="right" vertical="center" wrapText="1"/>
      <protection locked="0"/>
    </xf>
    <xf numFmtId="3" fontId="48" fillId="0" borderId="2" xfId="0" applyNumberFormat="1" applyFont="1" applyBorder="1" applyAlignment="1" applyProtection="1">
      <alignment horizontal="center" vertical="center" wrapText="1"/>
      <protection locked="0"/>
    </xf>
    <xf numFmtId="3" fontId="46" fillId="28" borderId="3" xfId="6" applyNumberFormat="1" applyFont="1" applyFill="1" applyBorder="1" applyAlignment="1">
      <alignment horizontal="center" vertical="center"/>
    </xf>
    <xf numFmtId="3" fontId="51" fillId="28" borderId="3" xfId="6" applyNumberFormat="1" applyFont="1" applyFill="1" applyBorder="1" applyAlignment="1">
      <alignment horizontal="center" vertical="center"/>
    </xf>
    <xf numFmtId="49" fontId="47" fillId="2" borderId="1" xfId="6" applyNumberFormat="1" applyFont="1" applyFill="1" applyBorder="1" applyAlignment="1">
      <alignment horizontal="center" vertical="center"/>
    </xf>
    <xf numFmtId="3" fontId="47" fillId="2" borderId="6" xfId="6" applyNumberFormat="1" applyFont="1" applyFill="1" applyBorder="1" applyAlignment="1">
      <alignment vertical="center" wrapText="1"/>
    </xf>
    <xf numFmtId="3" fontId="47" fillId="2" borderId="6" xfId="6" applyNumberFormat="1" applyFont="1" applyFill="1" applyBorder="1" applyAlignment="1" applyProtection="1">
      <alignment horizontal="right" vertical="center" wrapText="1"/>
      <protection locked="0"/>
    </xf>
    <xf numFmtId="3" fontId="47" fillId="2" borderId="1" xfId="0" applyNumberFormat="1" applyFont="1" applyFill="1" applyBorder="1" applyAlignment="1" applyProtection="1">
      <alignment horizontal="right" vertical="center"/>
      <protection locked="0"/>
    </xf>
    <xf numFmtId="3" fontId="48" fillId="2" borderId="1" xfId="0" applyNumberFormat="1" applyFont="1" applyFill="1" applyBorder="1" applyAlignment="1" applyProtection="1">
      <alignment horizontal="center" vertical="center"/>
      <protection locked="0"/>
    </xf>
    <xf numFmtId="3" fontId="47" fillId="2" borderId="1" xfId="6" applyNumberFormat="1" applyFont="1" applyFill="1" applyBorder="1" applyAlignment="1" applyProtection="1">
      <alignment horizontal="right" vertical="center" wrapText="1"/>
      <protection locked="0"/>
    </xf>
    <xf numFmtId="49" fontId="47" fillId="0" borderId="1" xfId="6" applyNumberFormat="1" applyFont="1" applyBorder="1" applyAlignment="1">
      <alignment horizontal="center" vertical="center"/>
    </xf>
    <xf numFmtId="49" fontId="48" fillId="0" borderId="1" xfId="12" applyNumberFormat="1" applyFont="1" applyFill="1" applyBorder="1" applyAlignment="1" applyProtection="1">
      <alignment horizontal="left" vertical="center"/>
    </xf>
    <xf numFmtId="3" fontId="47" fillId="2" borderId="6" xfId="6" applyNumberFormat="1" applyFont="1" applyFill="1" applyBorder="1" applyAlignment="1">
      <alignment horizontal="left" vertical="center" wrapText="1"/>
    </xf>
    <xf numFmtId="49" fontId="47" fillId="2" borderId="1" xfId="6" applyNumberFormat="1" applyFont="1" applyFill="1" applyBorder="1" applyAlignment="1">
      <alignment horizontal="right" vertical="center"/>
    </xf>
    <xf numFmtId="3" fontId="48" fillId="2" borderId="6" xfId="6" applyNumberFormat="1" applyFont="1" applyFill="1" applyBorder="1" applyAlignment="1">
      <alignment horizontal="left" vertical="center" wrapText="1" indent="2"/>
    </xf>
    <xf numFmtId="3" fontId="47" fillId="0" borderId="6" xfId="0" applyNumberFormat="1" applyFont="1" applyBorder="1" applyAlignment="1" applyProtection="1">
      <alignment horizontal="right" vertical="center" wrapText="1"/>
      <protection locked="0"/>
    </xf>
    <xf numFmtId="49" fontId="46" fillId="28" borderId="1" xfId="6" applyNumberFormat="1" applyFont="1" applyFill="1" applyBorder="1" applyAlignment="1">
      <alignment horizontal="center" vertical="center"/>
    </xf>
    <xf numFmtId="3" fontId="48" fillId="2" borderId="1" xfId="6" applyNumberFormat="1" applyFont="1" applyFill="1" applyBorder="1" applyAlignment="1">
      <alignment horizontal="left" vertical="center" wrapText="1" indent="2"/>
    </xf>
    <xf numFmtId="49" fontId="47" fillId="2" borderId="5" xfId="6" applyNumberFormat="1" applyFont="1" applyFill="1" applyBorder="1" applyAlignment="1">
      <alignment horizontal="center" vertical="center"/>
    </xf>
    <xf numFmtId="3" fontId="48" fillId="0" borderId="4" xfId="6" applyNumberFormat="1" applyFont="1" applyBorder="1" applyAlignment="1">
      <alignment horizontal="left" vertical="center" wrapText="1" indent="2"/>
    </xf>
    <xf numFmtId="3" fontId="47" fillId="0" borderId="9" xfId="6" applyNumberFormat="1" applyFont="1" applyBorder="1" applyAlignment="1" applyProtection="1">
      <alignment horizontal="right" vertical="center" wrapText="1"/>
      <protection locked="0"/>
    </xf>
    <xf numFmtId="3" fontId="47" fillId="2" borderId="3" xfId="0" applyNumberFormat="1" applyFont="1" applyFill="1" applyBorder="1" applyAlignment="1" applyProtection="1">
      <alignment horizontal="right" vertical="center"/>
      <protection locked="0"/>
    </xf>
    <xf numFmtId="9" fontId="48" fillId="2" borderId="3" xfId="12" applyFont="1" applyFill="1" applyBorder="1" applyAlignment="1" applyProtection="1">
      <alignment horizontal="center" vertical="center"/>
    </xf>
    <xf numFmtId="0" fontId="47" fillId="0" borderId="1" xfId="0" applyFont="1" applyBorder="1" applyAlignment="1">
      <alignment horizontal="left" vertical="center" wrapText="1" readingOrder="1"/>
    </xf>
    <xf numFmtId="49" fontId="51" fillId="28" borderId="1" xfId="12" applyNumberFormat="1" applyFont="1" applyFill="1" applyBorder="1" applyAlignment="1" applyProtection="1">
      <alignment horizontal="left" vertical="center" wrapText="1"/>
    </xf>
    <xf numFmtId="0" fontId="47" fillId="2" borderId="1" xfId="6" applyFont="1" applyFill="1" applyBorder="1" applyAlignment="1">
      <alignment vertical="center"/>
    </xf>
    <xf numFmtId="3" fontId="53" fillId="28" borderId="1" xfId="6" applyNumberFormat="1" applyFont="1" applyFill="1" applyBorder="1" applyAlignment="1">
      <alignment vertical="center" wrapText="1"/>
    </xf>
    <xf numFmtId="0" fontId="46" fillId="28" borderId="3" xfId="6" applyFont="1" applyFill="1" applyBorder="1" applyAlignment="1">
      <alignment horizontal="center" vertical="center" wrapText="1"/>
    </xf>
    <xf numFmtId="3" fontId="47" fillId="2" borderId="3" xfId="6" applyNumberFormat="1" applyFont="1" applyFill="1" applyBorder="1" applyAlignment="1" applyProtection="1">
      <alignment horizontal="right" vertical="center" wrapText="1"/>
      <protection locked="0"/>
    </xf>
    <xf numFmtId="3" fontId="47" fillId="2" borderId="3" xfId="6" applyNumberFormat="1" applyFont="1" applyFill="1" applyBorder="1" applyAlignment="1" applyProtection="1">
      <alignment horizontal="right" vertical="center"/>
      <protection locked="0"/>
    </xf>
    <xf numFmtId="3" fontId="48" fillId="0" borderId="1" xfId="6" applyNumberFormat="1" applyFont="1" applyBorder="1" applyAlignment="1">
      <alignment horizontal="left" vertical="center" wrapText="1" indent="2"/>
    </xf>
    <xf numFmtId="49" fontId="47" fillId="0" borderId="0" xfId="6" applyNumberFormat="1" applyFont="1" applyAlignment="1">
      <alignment horizontal="center" vertical="center"/>
    </xf>
    <xf numFmtId="0" fontId="47" fillId="0" borderId="0" xfId="0" applyFont="1" applyAlignment="1">
      <alignment vertical="center" wrapText="1"/>
    </xf>
    <xf numFmtId="0" fontId="47" fillId="0" borderId="0" xfId="6" applyFont="1"/>
    <xf numFmtId="0" fontId="56" fillId="0" borderId="0" xfId="0" applyFont="1" applyAlignment="1">
      <alignment horizontal="center" vertical="center" wrapText="1"/>
    </xf>
    <xf numFmtId="0" fontId="56" fillId="0" borderId="0" xfId="0" applyFont="1" applyAlignment="1">
      <alignment horizontal="left" vertical="center" wrapText="1"/>
    </xf>
    <xf numFmtId="3" fontId="47" fillId="0" borderId="0" xfId="6" applyNumberFormat="1" applyFont="1"/>
    <xf numFmtId="0" fontId="47" fillId="0" borderId="0" xfId="6" applyFont="1" applyAlignment="1">
      <alignment horizontal="left" vertical="center" wrapText="1"/>
    </xf>
    <xf numFmtId="0" fontId="47" fillId="0" borderId="0" xfId="6" applyFont="1" applyAlignment="1">
      <alignment horizontal="left" vertical="center"/>
    </xf>
    <xf numFmtId="0" fontId="46" fillId="2" borderId="1" xfId="0" applyFont="1" applyFill="1" applyBorder="1" applyAlignment="1">
      <alignment horizontal="right" vertical="center" wrapText="1"/>
    </xf>
    <xf numFmtId="3" fontId="46" fillId="29" borderId="1" xfId="0" applyNumberFormat="1" applyFont="1" applyFill="1" applyBorder="1" applyAlignment="1">
      <alignment horizontal="right" vertical="center" wrapText="1"/>
    </xf>
    <xf numFmtId="3" fontId="51" fillId="29" borderId="1" xfId="0" applyNumberFormat="1" applyFont="1" applyFill="1" applyBorder="1" applyAlignment="1">
      <alignment horizontal="center" vertical="center" wrapText="1"/>
    </xf>
    <xf numFmtId="166" fontId="51" fillId="29" borderId="1" xfId="12" applyNumberFormat="1" applyFont="1" applyFill="1" applyBorder="1" applyAlignment="1" applyProtection="1">
      <alignment horizontal="center" vertical="center" wrapText="1"/>
    </xf>
    <xf numFmtId="3" fontId="51" fillId="29" borderId="26" xfId="0" applyNumberFormat="1" applyFont="1" applyFill="1" applyBorder="1" applyAlignment="1">
      <alignment horizontal="left" vertical="center" wrapText="1"/>
    </xf>
    <xf numFmtId="0" fontId="47" fillId="2" borderId="1" xfId="0" applyFont="1" applyFill="1" applyBorder="1" applyAlignment="1">
      <alignment horizontal="right" vertical="center"/>
    </xf>
    <xf numFmtId="3" fontId="41" fillId="2" borderId="0" xfId="0" applyNumberFormat="1" applyFont="1" applyFill="1" applyAlignment="1">
      <alignment vertical="center"/>
    </xf>
    <xf numFmtId="49" fontId="47" fillId="2" borderId="1" xfId="0" applyNumberFormat="1" applyFont="1" applyFill="1" applyBorder="1" applyAlignment="1">
      <alignment horizontal="right" vertical="center"/>
    </xf>
    <xf numFmtId="3" fontId="40" fillId="2" borderId="0" xfId="0" applyNumberFormat="1" applyFont="1" applyFill="1" applyAlignment="1">
      <alignment vertical="center"/>
    </xf>
    <xf numFmtId="3" fontId="46" fillId="2" borderId="1" xfId="0" applyNumberFormat="1" applyFont="1" applyFill="1" applyBorder="1" applyAlignment="1">
      <alignment horizontal="right" vertical="center" wrapText="1"/>
    </xf>
    <xf numFmtId="3" fontId="46" fillId="29" borderId="1" xfId="0" applyNumberFormat="1" applyFont="1" applyFill="1" applyBorder="1" applyAlignment="1">
      <alignment horizontal="left" vertical="center" wrapText="1"/>
    </xf>
    <xf numFmtId="3" fontId="51" fillId="2" borderId="1" xfId="0" applyNumberFormat="1" applyFont="1" applyFill="1" applyBorder="1" applyAlignment="1" applyProtection="1">
      <alignment horizontal="left" vertical="center" wrapText="1"/>
      <protection locked="0"/>
    </xf>
    <xf numFmtId="3" fontId="43" fillId="2" borderId="0" xfId="0" applyNumberFormat="1" applyFont="1" applyFill="1" applyAlignment="1">
      <alignment vertical="center"/>
    </xf>
    <xf numFmtId="3" fontId="46" fillId="2" borderId="1" xfId="0" applyNumberFormat="1" applyFont="1" applyFill="1" applyBorder="1" applyAlignment="1">
      <alignment horizontal="center" vertical="center" wrapText="1"/>
    </xf>
    <xf numFmtId="166" fontId="46" fillId="2" borderId="1" xfId="12" applyNumberFormat="1" applyFont="1" applyFill="1" applyBorder="1" applyAlignment="1" applyProtection="1">
      <alignment horizontal="center" vertical="center" wrapText="1"/>
    </xf>
    <xf numFmtId="3" fontId="46" fillId="2" borderId="1" xfId="0" applyNumberFormat="1" applyFont="1" applyFill="1" applyBorder="1" applyAlignment="1" applyProtection="1">
      <alignment horizontal="left" vertical="center" wrapText="1"/>
      <protection locked="0"/>
    </xf>
    <xf numFmtId="0" fontId="47" fillId="0" borderId="1" xfId="0" applyFont="1" applyBorder="1" applyAlignment="1">
      <alignment horizontal="right" vertical="center"/>
    </xf>
    <xf numFmtId="3" fontId="51" fillId="2" borderId="4" xfId="0" applyNumberFormat="1" applyFont="1" applyFill="1" applyBorder="1" applyAlignment="1">
      <alignment horizontal="center" vertical="center" wrapText="1"/>
    </xf>
    <xf numFmtId="0" fontId="47" fillId="2" borderId="1" xfId="1" applyFont="1" applyFill="1" applyBorder="1" applyAlignment="1">
      <alignment horizontal="right" vertical="center"/>
    </xf>
    <xf numFmtId="3" fontId="46" fillId="30" borderId="1" xfId="0" applyNumberFormat="1" applyFont="1" applyFill="1" applyBorder="1" applyAlignment="1">
      <alignment horizontal="center" vertical="center" wrapText="1"/>
    </xf>
    <xf numFmtId="3" fontId="46" fillId="30" borderId="1" xfId="0" applyNumberFormat="1" applyFont="1" applyFill="1" applyBorder="1" applyAlignment="1">
      <alignment horizontal="right" vertical="center" wrapText="1"/>
    </xf>
    <xf numFmtId="3" fontId="51" fillId="30" borderId="1" xfId="0" applyNumberFormat="1" applyFont="1" applyFill="1" applyBorder="1" applyAlignment="1">
      <alignment horizontal="center" vertical="center" wrapText="1"/>
    </xf>
    <xf numFmtId="166" fontId="51" fillId="30" borderId="1" xfId="12" applyNumberFormat="1" applyFont="1" applyFill="1" applyBorder="1" applyAlignment="1" applyProtection="1">
      <alignment horizontal="center" vertical="center" wrapText="1"/>
    </xf>
    <xf numFmtId="3" fontId="51" fillId="30" borderId="26" xfId="0" applyNumberFormat="1" applyFont="1" applyFill="1" applyBorder="1" applyAlignment="1">
      <alignment horizontal="left" vertical="center" wrapText="1"/>
    </xf>
    <xf numFmtId="3" fontId="46" fillId="31" borderId="1" xfId="0" applyNumberFormat="1" applyFont="1" applyFill="1" applyBorder="1" applyAlignment="1">
      <alignment horizontal="center" vertical="center" wrapText="1"/>
    </xf>
    <xf numFmtId="3" fontId="46" fillId="31" borderId="1" xfId="0" applyNumberFormat="1" applyFont="1" applyFill="1" applyBorder="1" applyAlignment="1">
      <alignment horizontal="right" vertical="center" wrapText="1"/>
    </xf>
    <xf numFmtId="3" fontId="51" fillId="31" borderId="1" xfId="0" applyNumberFormat="1" applyFont="1" applyFill="1" applyBorder="1" applyAlignment="1">
      <alignment horizontal="center" vertical="center" wrapText="1"/>
    </xf>
    <xf numFmtId="166" fontId="51" fillId="31" borderId="1" xfId="12" applyNumberFormat="1" applyFont="1" applyFill="1" applyBorder="1" applyAlignment="1" applyProtection="1">
      <alignment horizontal="center" vertical="center" wrapText="1"/>
    </xf>
    <xf numFmtId="3" fontId="51" fillId="31" borderId="26" xfId="0" applyNumberFormat="1" applyFont="1" applyFill="1" applyBorder="1" applyAlignment="1">
      <alignment horizontal="left" vertical="center" wrapText="1"/>
    </xf>
    <xf numFmtId="3" fontId="46" fillId="31" borderId="1" xfId="6" applyNumberFormat="1" applyFont="1" applyFill="1" applyBorder="1" applyAlignment="1">
      <alignment horizontal="center" vertical="center" wrapText="1"/>
    </xf>
    <xf numFmtId="49" fontId="46" fillId="31" borderId="5" xfId="6" applyNumberFormat="1" applyFont="1" applyFill="1" applyBorder="1" applyAlignment="1">
      <alignment horizontal="center" vertical="center"/>
    </xf>
    <xf numFmtId="0" fontId="46" fillId="31" borderId="7" xfId="6" applyFont="1" applyFill="1" applyBorder="1" applyAlignment="1">
      <alignment vertical="center" wrapText="1"/>
    </xf>
    <xf numFmtId="0" fontId="46" fillId="31" borderId="8" xfId="6" applyFont="1" applyFill="1" applyBorder="1" applyAlignment="1">
      <alignment horizontal="center" vertical="center" wrapText="1"/>
    </xf>
    <xf numFmtId="3" fontId="46" fillId="31" borderId="3" xfId="6" applyNumberFormat="1" applyFont="1" applyFill="1" applyBorder="1" applyAlignment="1">
      <alignment horizontal="center" vertical="center"/>
    </xf>
    <xf numFmtId="3" fontId="46" fillId="31" borderId="1" xfId="6" applyNumberFormat="1" applyFont="1" applyFill="1" applyBorder="1" applyAlignment="1">
      <alignment horizontal="center" vertical="center"/>
    </xf>
    <xf numFmtId="3" fontId="51" fillId="31" borderId="3" xfId="6" applyNumberFormat="1" applyFont="1" applyFill="1" applyBorder="1" applyAlignment="1">
      <alignment horizontal="center" vertical="center"/>
    </xf>
    <xf numFmtId="0" fontId="46" fillId="31" borderId="6" xfId="0" applyFont="1" applyFill="1" applyBorder="1" applyAlignment="1">
      <alignment horizontal="left" vertical="center" wrapText="1" readingOrder="1"/>
    </xf>
    <xf numFmtId="0" fontId="46" fillId="31" borderId="2" xfId="0" applyFont="1" applyFill="1" applyBorder="1" applyAlignment="1">
      <alignment horizontal="center" vertical="center" wrapText="1"/>
    </xf>
    <xf numFmtId="49" fontId="46" fillId="31" borderId="1" xfId="6" applyNumberFormat="1" applyFont="1" applyFill="1" applyBorder="1" applyAlignment="1">
      <alignment horizontal="center" vertical="center"/>
    </xf>
    <xf numFmtId="3" fontId="46" fillId="31" borderId="1" xfId="6" applyNumberFormat="1" applyFont="1" applyFill="1" applyBorder="1" applyAlignment="1">
      <alignment vertical="center" wrapText="1"/>
    </xf>
    <xf numFmtId="3" fontId="46" fillId="31" borderId="3" xfId="6" applyNumberFormat="1" applyFont="1" applyFill="1" applyBorder="1" applyAlignment="1">
      <alignment horizontal="center" vertical="center" wrapText="1"/>
    </xf>
    <xf numFmtId="0" fontId="46" fillId="31" borderId="4" xfId="6" applyFont="1" applyFill="1" applyBorder="1" applyAlignment="1">
      <alignment vertical="center" wrapText="1"/>
    </xf>
    <xf numFmtId="0" fontId="46" fillId="31" borderId="9" xfId="6" applyFont="1" applyFill="1" applyBorder="1" applyAlignment="1">
      <alignment horizontal="center" vertical="center" wrapText="1"/>
    </xf>
    <xf numFmtId="0" fontId="46" fillId="31" borderId="1" xfId="0" applyFont="1" applyFill="1" applyBorder="1" applyAlignment="1">
      <alignment horizontal="left" vertical="center" wrapText="1" readingOrder="1"/>
    </xf>
    <xf numFmtId="0" fontId="46" fillId="31" borderId="3" xfId="0" applyFont="1" applyFill="1" applyBorder="1" applyAlignment="1">
      <alignment horizontal="center" vertical="center" wrapText="1"/>
    </xf>
    <xf numFmtId="3" fontId="46" fillId="31" borderId="1" xfId="6" applyNumberFormat="1" applyFont="1" applyFill="1" applyBorder="1" applyAlignment="1">
      <alignment horizontal="left" vertical="center" wrapText="1"/>
    </xf>
    <xf numFmtId="3" fontId="46" fillId="31" borderId="1" xfId="0" applyNumberFormat="1" applyFont="1" applyFill="1" applyBorder="1" applyAlignment="1">
      <alignment horizontal="center" vertical="center"/>
    </xf>
    <xf numFmtId="3" fontId="51" fillId="31" borderId="1" xfId="0" applyNumberFormat="1" applyFont="1" applyFill="1" applyBorder="1" applyAlignment="1">
      <alignment horizontal="center" vertical="center"/>
    </xf>
    <xf numFmtId="0" fontId="46" fillId="31" borderId="5" xfId="6" applyFont="1" applyFill="1" applyBorder="1" applyAlignment="1">
      <alignment horizontal="center" vertical="center"/>
    </xf>
    <xf numFmtId="0" fontId="48" fillId="31" borderId="0" xfId="0" applyFont="1" applyFill="1" applyAlignment="1">
      <alignment horizontal="center" vertical="center"/>
    </xf>
    <xf numFmtId="49" fontId="47" fillId="31" borderId="0" xfId="0" applyNumberFormat="1" applyFont="1" applyFill="1" applyAlignment="1">
      <alignment horizontal="left" vertical="center"/>
    </xf>
    <xf numFmtId="0" fontId="47" fillId="31" borderId="0" xfId="0" applyFont="1" applyFill="1" applyAlignment="1">
      <alignment vertical="center"/>
    </xf>
    <xf numFmtId="9" fontId="48" fillId="31" borderId="0" xfId="12" applyFont="1" applyFill="1" applyAlignment="1" applyProtection="1">
      <alignment horizontal="center" vertical="center"/>
    </xf>
    <xf numFmtId="49" fontId="46" fillId="28" borderId="26" xfId="6" applyNumberFormat="1" applyFont="1" applyFill="1" applyBorder="1" applyAlignment="1">
      <alignment horizontal="left" vertical="center" wrapText="1"/>
    </xf>
    <xf numFmtId="49" fontId="46" fillId="28" borderId="26" xfId="0" applyNumberFormat="1" applyFont="1" applyFill="1" applyBorder="1" applyAlignment="1">
      <alignment horizontal="left" vertical="center"/>
    </xf>
    <xf numFmtId="49" fontId="46" fillId="28" borderId="26" xfId="6" applyNumberFormat="1" applyFont="1" applyFill="1" applyBorder="1" applyAlignment="1">
      <alignment horizontal="left" vertical="center"/>
    </xf>
    <xf numFmtId="3" fontId="51" fillId="28" borderId="26" xfId="0" applyNumberFormat="1" applyFont="1" applyFill="1" applyBorder="1" applyAlignment="1">
      <alignment vertical="center" wrapText="1"/>
    </xf>
    <xf numFmtId="3" fontId="46" fillId="28" borderId="1" xfId="0" applyNumberFormat="1" applyFont="1" applyFill="1" applyBorder="1" applyAlignment="1" applyProtection="1">
      <alignment horizontal="right" vertical="center" wrapText="1"/>
      <protection locked="0"/>
    </xf>
    <xf numFmtId="3" fontId="51" fillId="28" borderId="1" xfId="0" applyNumberFormat="1" applyFont="1" applyFill="1" applyBorder="1" applyAlignment="1">
      <alignment vertical="center" wrapText="1"/>
    </xf>
    <xf numFmtId="9" fontId="51" fillId="28" borderId="5" xfId="12" applyFont="1" applyFill="1" applyBorder="1" applyAlignment="1" applyProtection="1">
      <alignment horizontal="center" vertical="center"/>
    </xf>
    <xf numFmtId="1" fontId="46" fillId="31" borderId="1" xfId="0" applyNumberFormat="1" applyFont="1" applyFill="1" applyBorder="1" applyAlignment="1">
      <alignment horizontal="right" vertical="center" wrapText="1"/>
    </xf>
    <xf numFmtId="1" fontId="46" fillId="29" borderId="1" xfId="0" applyNumberFormat="1" applyFont="1" applyFill="1" applyBorder="1" applyAlignment="1">
      <alignment horizontal="right" vertical="center" wrapText="1"/>
    </xf>
    <xf numFmtId="1" fontId="46" fillId="28" borderId="1" xfId="0" applyNumberFormat="1" applyFont="1" applyFill="1" applyBorder="1" applyAlignment="1">
      <alignment horizontal="right" vertical="center" wrapText="1"/>
    </xf>
    <xf numFmtId="1" fontId="47" fillId="2" borderId="1" xfId="0" applyNumberFormat="1" applyFont="1" applyFill="1" applyBorder="1" applyAlignment="1" applyProtection="1">
      <alignment horizontal="right" vertical="center" wrapText="1"/>
      <protection locked="0"/>
    </xf>
    <xf numFmtId="1" fontId="47" fillId="0" borderId="1" xfId="0" applyNumberFormat="1" applyFont="1" applyBorder="1" applyAlignment="1" applyProtection="1">
      <alignment horizontal="right" vertical="center" wrapText="1"/>
      <protection locked="0"/>
    </xf>
    <xf numFmtId="1" fontId="46" fillId="2" borderId="1" xfId="0" applyNumberFormat="1" applyFont="1" applyFill="1" applyBorder="1" applyAlignment="1" applyProtection="1">
      <alignment horizontal="right" vertical="center" wrapText="1"/>
      <protection locked="0"/>
    </xf>
    <xf numFmtId="1" fontId="46" fillId="0" borderId="1" xfId="0" applyNumberFormat="1" applyFont="1" applyBorder="1" applyAlignment="1" applyProtection="1">
      <alignment horizontal="right" vertical="center" wrapText="1"/>
      <protection locked="0"/>
    </xf>
    <xf numFmtId="1" fontId="47" fillId="2" borderId="1" xfId="0" applyNumberFormat="1" applyFont="1" applyFill="1" applyBorder="1" applyAlignment="1">
      <alignment horizontal="right" vertical="center" wrapText="1"/>
    </xf>
    <xf numFmtId="1" fontId="46" fillId="2" borderId="1" xfId="0" applyNumberFormat="1" applyFont="1" applyFill="1" applyBorder="1" applyAlignment="1">
      <alignment horizontal="right" vertical="center" wrapText="1"/>
    </xf>
    <xf numFmtId="1" fontId="46" fillId="0" borderId="1" xfId="0" applyNumberFormat="1" applyFont="1" applyBorder="1" applyAlignment="1">
      <alignment horizontal="right" vertical="center" wrapText="1"/>
    </xf>
    <xf numFmtId="1" fontId="46" fillId="28" borderId="1" xfId="0" applyNumberFormat="1" applyFont="1" applyFill="1" applyBorder="1" applyAlignment="1" applyProtection="1">
      <alignment horizontal="right" vertical="center" wrapText="1"/>
      <protection locked="0"/>
    </xf>
    <xf numFmtId="1" fontId="53" fillId="28" borderId="1" xfId="0" applyNumberFormat="1" applyFont="1" applyFill="1" applyBorder="1" applyAlignment="1">
      <alignment horizontal="right" vertical="center" wrapText="1"/>
    </xf>
    <xf numFmtId="1" fontId="46" fillId="30" borderId="1" xfId="0" applyNumberFormat="1" applyFont="1" applyFill="1" applyBorder="1" applyAlignment="1">
      <alignment horizontal="right" vertical="center" wrapText="1"/>
    </xf>
    <xf numFmtId="0" fontId="34" fillId="0" borderId="1" xfId="1467" applyFont="1" applyBorder="1" applyAlignment="1">
      <alignment horizontal="center" vertical="center"/>
    </xf>
    <xf numFmtId="3" fontId="34" fillId="0" borderId="1" xfId="0" applyNumberFormat="1" applyFont="1" applyBorder="1" applyAlignment="1">
      <alignment horizontal="center" vertical="center" wrapText="1"/>
    </xf>
    <xf numFmtId="3" fontId="58" fillId="3" borderId="1" xfId="0" applyNumberFormat="1" applyFont="1" applyFill="1" applyBorder="1" applyAlignment="1">
      <alignment horizontal="center" vertical="center" wrapText="1"/>
    </xf>
    <xf numFmtId="166" fontId="58" fillId="3" borderId="1" xfId="12" applyNumberFormat="1" applyFont="1" applyFill="1" applyBorder="1" applyAlignment="1" applyProtection="1">
      <alignment horizontal="center" vertical="center" wrapText="1"/>
    </xf>
    <xf numFmtId="3" fontId="58" fillId="3" borderId="1" xfId="12" applyNumberFormat="1" applyFont="1" applyFill="1" applyBorder="1" applyAlignment="1" applyProtection="1">
      <alignment horizontal="center" vertical="center" wrapText="1"/>
    </xf>
    <xf numFmtId="0" fontId="34" fillId="0" borderId="1" xfId="1467" applyFont="1" applyBorder="1" applyAlignment="1">
      <alignment vertical="center" wrapText="1"/>
    </xf>
    <xf numFmtId="3" fontId="34" fillId="0" borderId="1" xfId="1467" applyNumberFormat="1" applyFont="1" applyBorder="1" applyAlignment="1" applyProtection="1">
      <alignment horizontal="center" vertical="center"/>
      <protection locked="0"/>
    </xf>
    <xf numFmtId="168" fontId="34" fillId="0" borderId="1" xfId="1467" applyNumberFormat="1" applyFont="1" applyBorder="1" applyAlignment="1" applyProtection="1">
      <alignment horizontal="center" vertical="center"/>
      <protection locked="0"/>
    </xf>
    <xf numFmtId="168" fontId="34" fillId="0" borderId="1" xfId="0" applyNumberFormat="1" applyFont="1" applyBorder="1" applyAlignment="1">
      <alignment horizontal="center" vertical="center" wrapText="1"/>
    </xf>
    <xf numFmtId="168" fontId="58" fillId="0" borderId="1" xfId="1467" applyNumberFormat="1" applyFont="1" applyBorder="1" applyAlignment="1" applyProtection="1">
      <alignment horizontal="center" vertical="center"/>
      <protection locked="0"/>
    </xf>
    <xf numFmtId="168" fontId="58" fillId="0" borderId="1" xfId="12" applyNumberFormat="1" applyFont="1" applyFill="1" applyBorder="1" applyAlignment="1" applyProtection="1">
      <alignment horizontal="center" vertical="center"/>
      <protection locked="0"/>
    </xf>
    <xf numFmtId="3" fontId="58" fillId="0" borderId="1" xfId="1467" applyNumberFormat="1" applyFont="1" applyBorder="1" applyAlignment="1" applyProtection="1">
      <alignment horizontal="center" vertical="center"/>
      <protection locked="0"/>
    </xf>
    <xf numFmtId="9" fontId="58" fillId="0" borderId="1" xfId="12" applyFont="1" applyFill="1" applyBorder="1" applyAlignment="1" applyProtection="1">
      <alignment horizontal="center" vertical="center"/>
      <protection locked="0"/>
    </xf>
    <xf numFmtId="49" fontId="34" fillId="0" borderId="1" xfId="1467" applyNumberFormat="1" applyFont="1" applyBorder="1" applyAlignment="1" applyProtection="1">
      <alignment horizontal="center" vertical="center"/>
      <protection locked="0"/>
    </xf>
    <xf numFmtId="0" fontId="57" fillId="28" borderId="1" xfId="1467" applyFont="1" applyFill="1" applyBorder="1" applyAlignment="1">
      <alignment horizontal="center" vertical="center"/>
    </xf>
    <xf numFmtId="0" fontId="57" fillId="28" borderId="1" xfId="1467" applyFont="1" applyFill="1" applyBorder="1" applyAlignment="1">
      <alignment vertical="center" wrapText="1"/>
    </xf>
    <xf numFmtId="3" fontId="57" fillId="28" borderId="1" xfId="1467" applyNumberFormat="1" applyFont="1" applyFill="1" applyBorder="1" applyAlignment="1">
      <alignment horizontal="center" vertical="center"/>
    </xf>
    <xf numFmtId="3" fontId="59" fillId="28" borderId="1" xfId="1467" applyNumberFormat="1" applyFont="1" applyFill="1" applyBorder="1" applyAlignment="1">
      <alignment horizontal="center" vertical="center"/>
    </xf>
    <xf numFmtId="9" fontId="59" fillId="28" borderId="1" xfId="12" applyFont="1" applyFill="1" applyBorder="1" applyAlignment="1" applyProtection="1">
      <alignment horizontal="center" vertical="center"/>
    </xf>
    <xf numFmtId="49" fontId="57" fillId="28" borderId="1" xfId="1467" applyNumberFormat="1" applyFont="1" applyFill="1" applyBorder="1" applyAlignment="1">
      <alignment horizontal="center" vertical="center"/>
    </xf>
    <xf numFmtId="3" fontId="57" fillId="28" borderId="1" xfId="1467" applyNumberFormat="1" applyFont="1" applyFill="1" applyBorder="1" applyAlignment="1" applyProtection="1">
      <alignment horizontal="center" vertical="center"/>
      <protection locked="0"/>
    </xf>
    <xf numFmtId="9" fontId="58" fillId="28" borderId="1" xfId="12" applyFont="1" applyFill="1" applyBorder="1" applyAlignment="1" applyProtection="1">
      <alignment horizontal="center" vertical="center"/>
      <protection locked="0"/>
    </xf>
    <xf numFmtId="49" fontId="34" fillId="28" borderId="1" xfId="1467" applyNumberFormat="1" applyFont="1" applyFill="1" applyBorder="1" applyAlignment="1" applyProtection="1">
      <alignment horizontal="center" vertical="center"/>
      <protection locked="0"/>
    </xf>
    <xf numFmtId="0" fontId="34" fillId="2" borderId="1" xfId="1467" applyFont="1" applyFill="1" applyBorder="1" applyAlignment="1">
      <alignment horizontal="center" vertical="center"/>
    </xf>
    <xf numFmtId="0" fontId="34" fillId="2" borderId="1" xfId="1467" applyFont="1" applyFill="1" applyBorder="1" applyAlignment="1">
      <alignment vertical="center" wrapText="1"/>
    </xf>
    <xf numFmtId="3" fontId="57" fillId="2" borderId="1" xfId="1467" applyNumberFormat="1" applyFont="1" applyFill="1" applyBorder="1" applyAlignment="1">
      <alignment horizontal="center" vertical="center"/>
    </xf>
    <xf numFmtId="3" fontId="59" fillId="2" borderId="1" xfId="1467" applyNumberFormat="1" applyFont="1" applyFill="1" applyBorder="1" applyAlignment="1">
      <alignment horizontal="center" vertical="center"/>
    </xf>
    <xf numFmtId="9" fontId="59" fillId="2" borderId="1" xfId="12" applyFont="1" applyFill="1" applyBorder="1" applyAlignment="1" applyProtection="1">
      <alignment horizontal="center" vertical="center"/>
    </xf>
    <xf numFmtId="49" fontId="57" fillId="2" borderId="1" xfId="1467" applyNumberFormat="1" applyFont="1" applyFill="1" applyBorder="1" applyAlignment="1">
      <alignment horizontal="center" vertical="center"/>
    </xf>
    <xf numFmtId="0" fontId="34" fillId="0" borderId="0" xfId="1467" applyFont="1" applyAlignment="1">
      <alignment vertical="center"/>
    </xf>
    <xf numFmtId="0" fontId="34" fillId="0" borderId="0" xfId="1467" applyFont="1" applyAlignment="1">
      <alignment horizontal="left" vertical="center" wrapText="1"/>
    </xf>
    <xf numFmtId="1" fontId="51" fillId="31" borderId="1" xfId="12" applyNumberFormat="1" applyFont="1" applyFill="1" applyBorder="1" applyAlignment="1" applyProtection="1">
      <alignment horizontal="center" vertical="center" wrapText="1"/>
    </xf>
    <xf numFmtId="1" fontId="51" fillId="28" borderId="1" xfId="12" applyNumberFormat="1" applyFont="1" applyFill="1" applyBorder="1" applyAlignment="1" applyProtection="1">
      <alignment horizontal="center" vertical="center" wrapText="1"/>
    </xf>
    <xf numFmtId="49" fontId="57" fillId="0" borderId="1" xfId="1467" applyNumberFormat="1" applyFont="1" applyBorder="1" applyAlignment="1">
      <alignment horizontal="left" vertical="center" wrapText="1"/>
    </xf>
    <xf numFmtId="49" fontId="34" fillId="0" borderId="1" xfId="1467" applyNumberFormat="1" applyFont="1" applyBorder="1" applyAlignment="1" applyProtection="1">
      <alignment horizontal="left" vertical="center" wrapText="1"/>
      <protection locked="0"/>
    </xf>
    <xf numFmtId="0" fontId="39" fillId="0" borderId="0" xfId="1467" applyFont="1" applyAlignment="1">
      <alignment horizontal="left" vertical="center" wrapText="1"/>
    </xf>
    <xf numFmtId="0" fontId="39" fillId="0" borderId="0" xfId="0" applyFont="1" applyAlignment="1">
      <alignment horizontal="left" vertical="center" wrapText="1"/>
    </xf>
    <xf numFmtId="0" fontId="39" fillId="0" borderId="0" xfId="1467" applyFont="1" applyAlignment="1">
      <alignment vertical="center" wrapText="1"/>
    </xf>
    <xf numFmtId="0" fontId="45" fillId="0" borderId="0" xfId="1467" applyFont="1" applyAlignment="1" applyProtection="1">
      <alignment vertical="center" wrapText="1"/>
      <protection locked="0"/>
    </xf>
    <xf numFmtId="0" fontId="39" fillId="0" borderId="0" xfId="0" applyFont="1" applyAlignment="1">
      <alignment vertical="center" wrapText="1"/>
    </xf>
    <xf numFmtId="3" fontId="51" fillId="0" borderId="1" xfId="6" applyNumberFormat="1" applyFont="1" applyBorder="1" applyAlignment="1">
      <alignment horizontal="center" vertical="center" wrapText="1"/>
    </xf>
    <xf numFmtId="9" fontId="51" fillId="0" borderId="1" xfId="12" applyFont="1" applyFill="1" applyBorder="1" applyAlignment="1" applyProtection="1">
      <alignment horizontal="center" vertical="center" wrapText="1"/>
    </xf>
    <xf numFmtId="3" fontId="51" fillId="32" borderId="1" xfId="6" applyNumberFormat="1" applyFont="1" applyFill="1" applyBorder="1" applyAlignment="1">
      <alignment horizontal="center" vertical="center" wrapText="1"/>
    </xf>
    <xf numFmtId="9" fontId="51" fillId="32" borderId="1" xfId="12" applyFont="1" applyFill="1" applyBorder="1" applyAlignment="1" applyProtection="1">
      <alignment horizontal="center" vertical="center" wrapText="1"/>
    </xf>
    <xf numFmtId="3" fontId="46" fillId="0" borderId="1" xfId="0" applyNumberFormat="1" applyFont="1" applyBorder="1" applyAlignment="1" applyProtection="1">
      <alignment horizontal="left" vertical="center" wrapText="1"/>
      <protection locked="0"/>
    </xf>
    <xf numFmtId="3" fontId="51" fillId="0" borderId="26" xfId="0" applyNumberFormat="1" applyFont="1" applyBorder="1" applyAlignment="1">
      <alignment horizontal="left" vertical="center" wrapText="1"/>
    </xf>
    <xf numFmtId="3" fontId="47" fillId="0" borderId="1" xfId="6" applyNumberFormat="1" applyFont="1" applyBorder="1" applyAlignment="1">
      <alignment horizontal="right" vertical="center"/>
    </xf>
    <xf numFmtId="49" fontId="47" fillId="0" borderId="1" xfId="6" applyNumberFormat="1" applyFont="1" applyBorder="1" applyAlignment="1">
      <alignment horizontal="left" vertical="center" wrapText="1"/>
    </xf>
    <xf numFmtId="49" fontId="47" fillId="0" borderId="4" xfId="6" applyNumberFormat="1" applyFont="1" applyBorder="1" applyAlignment="1">
      <alignment horizontal="left" vertical="center" wrapText="1"/>
    </xf>
    <xf numFmtId="49" fontId="48" fillId="0" borderId="1" xfId="12" applyNumberFormat="1" applyFont="1" applyFill="1" applyBorder="1" applyAlignment="1" applyProtection="1">
      <alignment horizontal="left" vertical="center" wrapText="1"/>
    </xf>
    <xf numFmtId="3" fontId="58" fillId="0" borderId="1" xfId="0" applyNumberFormat="1" applyFont="1" applyBorder="1" applyAlignment="1">
      <alignment horizontal="center" vertical="center" wrapText="1"/>
    </xf>
    <xf numFmtId="166" fontId="58" fillId="0" borderId="1" xfId="12" applyNumberFormat="1" applyFont="1" applyFill="1" applyBorder="1" applyAlignment="1" applyProtection="1">
      <alignment horizontal="center" vertical="center" wrapText="1"/>
    </xf>
    <xf numFmtId="3" fontId="58" fillId="0" borderId="1" xfId="12" applyNumberFormat="1" applyFont="1" applyFill="1" applyBorder="1" applyAlignment="1" applyProtection="1">
      <alignment horizontal="center" vertical="center" wrapText="1"/>
    </xf>
    <xf numFmtId="3" fontId="57" fillId="0" borderId="1" xfId="1467" applyNumberFormat="1" applyFont="1" applyBorder="1" applyAlignment="1">
      <alignment horizontal="center" vertical="center"/>
    </xf>
    <xf numFmtId="3" fontId="59" fillId="0" borderId="1" xfId="1467" applyNumberFormat="1" applyFont="1" applyBorder="1" applyAlignment="1">
      <alignment horizontal="center" vertical="center"/>
    </xf>
    <xf numFmtId="9" fontId="59" fillId="0" borderId="1" xfId="12" applyFont="1" applyFill="1" applyBorder="1" applyAlignment="1" applyProtection="1">
      <alignment horizontal="center" vertical="center"/>
    </xf>
    <xf numFmtId="49" fontId="57" fillId="0" borderId="1" xfId="1467" applyNumberFormat="1" applyFont="1" applyBorder="1" applyAlignment="1">
      <alignment horizontal="center" vertical="center"/>
    </xf>
    <xf numFmtId="3" fontId="57" fillId="0" borderId="1" xfId="1467" applyNumberFormat="1" applyFont="1" applyBorder="1" applyAlignment="1" applyProtection="1">
      <alignment horizontal="center" vertical="center"/>
      <protection locked="0"/>
    </xf>
    <xf numFmtId="3" fontId="57" fillId="0" borderId="1" xfId="1467" applyNumberFormat="1" applyFont="1" applyBorder="1" applyAlignment="1" applyProtection="1">
      <alignment horizontal="left" vertical="center" wrapText="1"/>
      <protection locked="0"/>
    </xf>
    <xf numFmtId="3" fontId="34" fillId="0" borderId="0" xfId="1467" applyNumberFormat="1" applyFont="1" applyAlignment="1">
      <alignment horizontal="center" vertical="center"/>
    </xf>
    <xf numFmtId="3" fontId="58" fillId="0" borderId="0" xfId="1467" applyNumberFormat="1" applyFont="1" applyAlignment="1">
      <alignment horizontal="center" vertical="center"/>
    </xf>
    <xf numFmtId="9" fontId="58" fillId="0" borderId="0" xfId="12" applyFont="1" applyFill="1" applyBorder="1" applyAlignment="1" applyProtection="1">
      <alignment horizontal="center" vertical="center"/>
    </xf>
    <xf numFmtId="49" fontId="34" fillId="0" borderId="0" xfId="1467" applyNumberFormat="1" applyFont="1" applyAlignment="1">
      <alignment horizontal="left" vertical="center" wrapText="1"/>
    </xf>
    <xf numFmtId="49" fontId="34" fillId="0" borderId="0" xfId="1467" applyNumberFormat="1" applyFont="1" applyAlignment="1">
      <alignment horizontal="center" vertical="center"/>
    </xf>
    <xf numFmtId="0" fontId="57" fillId="0" borderId="0" xfId="1467" applyFont="1" applyAlignment="1">
      <alignment horizontal="center"/>
    </xf>
    <xf numFmtId="168" fontId="34" fillId="0" borderId="0" xfId="1467" applyNumberFormat="1" applyFont="1" applyAlignment="1">
      <alignment horizontal="right" vertical="center"/>
    </xf>
    <xf numFmtId="0" fontId="34" fillId="0" borderId="0" xfId="1467" applyFont="1" applyAlignment="1">
      <alignment horizontal="right" vertical="center"/>
    </xf>
    <xf numFmtId="0" fontId="61" fillId="0" borderId="0" xfId="1467" applyFont="1" applyAlignment="1">
      <alignment horizontal="right" vertical="center"/>
    </xf>
    <xf numFmtId="0" fontId="61" fillId="0" borderId="0" xfId="1467" applyFont="1" applyAlignment="1">
      <alignment horizontal="right" vertical="center" wrapText="1"/>
    </xf>
    <xf numFmtId="168" fontId="61" fillId="0" borderId="0" xfId="1467" applyNumberFormat="1" applyFont="1" applyAlignment="1">
      <alignment horizontal="right" vertical="center"/>
    </xf>
    <xf numFmtId="0" fontId="61" fillId="0" borderId="0" xfId="1467" applyFont="1" applyAlignment="1">
      <alignment vertical="center"/>
    </xf>
    <xf numFmtId="168" fontId="61" fillId="0" borderId="0" xfId="1467" applyNumberFormat="1" applyFont="1" applyAlignment="1">
      <alignment vertical="center"/>
    </xf>
    <xf numFmtId="3" fontId="61" fillId="0" borderId="0" xfId="1467" applyNumberFormat="1" applyFont="1" applyAlignment="1">
      <alignment vertical="center"/>
    </xf>
    <xf numFmtId="3" fontId="39" fillId="0" borderId="0" xfId="0" applyNumberFormat="1" applyFont="1" applyAlignment="1">
      <alignment vertical="center"/>
    </xf>
    <xf numFmtId="3" fontId="62" fillId="0" borderId="0" xfId="0" applyNumberFormat="1" applyFont="1" applyAlignment="1">
      <alignment vertical="center"/>
    </xf>
    <xf numFmtId="0" fontId="62" fillId="0" borderId="0" xfId="0" applyFont="1" applyAlignment="1">
      <alignment vertical="center"/>
    </xf>
    <xf numFmtId="49" fontId="46" fillId="0" borderId="26" xfId="6" applyNumberFormat="1" applyFont="1" applyBorder="1" applyAlignment="1">
      <alignment horizontal="left" vertical="center"/>
    </xf>
    <xf numFmtId="49" fontId="47" fillId="0" borderId="1" xfId="6" applyNumberFormat="1" applyFont="1" applyBorder="1" applyAlignment="1">
      <alignment horizontal="right" vertical="center"/>
    </xf>
    <xf numFmtId="3" fontId="48" fillId="0" borderId="6" xfId="6" applyNumberFormat="1" applyFont="1" applyBorder="1" applyAlignment="1">
      <alignment horizontal="left" vertical="center" wrapText="1" indent="2"/>
    </xf>
    <xf numFmtId="3" fontId="47" fillId="0" borderId="6" xfId="6" applyNumberFormat="1" applyFont="1" applyBorder="1" applyAlignment="1" applyProtection="1">
      <alignment horizontal="right" vertical="center" wrapText="1"/>
      <protection locked="0"/>
    </xf>
    <xf numFmtId="3" fontId="47" fillId="0" borderId="6" xfId="6" applyNumberFormat="1" applyFont="1" applyBorder="1" applyAlignment="1">
      <alignment vertical="center" wrapText="1"/>
    </xf>
    <xf numFmtId="3" fontId="46" fillId="0" borderId="1" xfId="0" applyNumberFormat="1" applyFont="1" applyBorder="1" applyAlignment="1">
      <alignment horizontal="right" vertical="center" wrapText="1"/>
    </xf>
    <xf numFmtId="0" fontId="47" fillId="0" borderId="1" xfId="1" applyFont="1" applyBorder="1" applyAlignment="1">
      <alignment horizontal="center" vertical="center" wrapText="1"/>
    </xf>
    <xf numFmtId="0" fontId="47" fillId="0" borderId="0" xfId="1" applyFont="1" applyAlignment="1">
      <alignment vertical="center"/>
    </xf>
    <xf numFmtId="49" fontId="46" fillId="31" borderId="1" xfId="1" applyNumberFormat="1" applyFont="1" applyFill="1" applyBorder="1" applyAlignment="1">
      <alignment horizontal="center" vertical="center" wrapText="1"/>
    </xf>
    <xf numFmtId="0" fontId="46" fillId="31" borderId="1" xfId="1" applyFont="1" applyFill="1" applyBorder="1" applyAlignment="1">
      <alignment horizontal="center" vertical="center" wrapText="1"/>
    </xf>
    <xf numFmtId="0" fontId="47" fillId="0" borderId="0" xfId="1" applyFont="1" applyAlignment="1">
      <alignment vertical="center" wrapText="1"/>
    </xf>
    <xf numFmtId="49" fontId="46" fillId="28" borderId="1" xfId="5" applyNumberFormat="1" applyFont="1" applyFill="1" applyBorder="1" applyAlignment="1">
      <alignment horizontal="center" vertical="center" wrapText="1"/>
    </xf>
    <xf numFmtId="49" fontId="46" fillId="2" borderId="1" xfId="5" applyNumberFormat="1" applyFont="1" applyFill="1" applyBorder="1" applyAlignment="1">
      <alignment horizontal="center" vertical="center" wrapText="1"/>
    </xf>
    <xf numFmtId="3" fontId="46" fillId="2" borderId="1" xfId="6" applyNumberFormat="1" applyFont="1" applyFill="1" applyBorder="1" applyAlignment="1">
      <alignment vertical="center" wrapText="1"/>
    </xf>
    <xf numFmtId="49" fontId="47" fillId="2" borderId="1" xfId="5" applyNumberFormat="1" applyFont="1" applyFill="1" applyBorder="1" applyAlignment="1">
      <alignment horizontal="center" vertical="center" wrapText="1"/>
    </xf>
    <xf numFmtId="49" fontId="47" fillId="0" borderId="1" xfId="5" applyNumberFormat="1" applyFont="1" applyBorder="1" applyAlignment="1">
      <alignment horizontal="center" vertical="center" wrapText="1"/>
    </xf>
    <xf numFmtId="0" fontId="34" fillId="0" borderId="1" xfId="0" applyFont="1" applyBorder="1"/>
    <xf numFmtId="49" fontId="47" fillId="31" borderId="1" xfId="5" applyNumberFormat="1" applyFont="1" applyFill="1" applyBorder="1" applyAlignment="1">
      <alignment horizontal="center" vertical="center" wrapText="1"/>
    </xf>
    <xf numFmtId="49" fontId="46" fillId="28" borderId="1" xfId="1" applyNumberFormat="1" applyFont="1" applyFill="1" applyBorder="1" applyAlignment="1">
      <alignment horizontal="center" vertical="center" wrapText="1"/>
    </xf>
    <xf numFmtId="0" fontId="46" fillId="0" borderId="0" xfId="1" applyFont="1" applyAlignment="1">
      <alignment vertical="center" wrapText="1"/>
    </xf>
    <xf numFmtId="49" fontId="47" fillId="0" borderId="1" xfId="1" applyNumberFormat="1" applyFont="1" applyBorder="1" applyAlignment="1">
      <alignment horizontal="center" vertical="center" wrapText="1"/>
    </xf>
    <xf numFmtId="49" fontId="46" fillId="0" borderId="1" xfId="1" applyNumberFormat="1" applyFont="1" applyBorder="1" applyAlignment="1">
      <alignment horizontal="center" vertical="center" wrapText="1"/>
    </xf>
    <xf numFmtId="3" fontId="46" fillId="0" borderId="1" xfId="6" applyNumberFormat="1" applyFont="1" applyBorder="1" applyAlignment="1">
      <alignment vertical="center" wrapText="1"/>
    </xf>
    <xf numFmtId="0" fontId="46" fillId="28" borderId="1" xfId="1" applyFont="1" applyFill="1" applyBorder="1" applyAlignment="1">
      <alignment horizontal="left" vertical="center" wrapText="1"/>
    </xf>
    <xf numFmtId="49" fontId="47" fillId="0" borderId="0" xfId="1" applyNumberFormat="1" applyFont="1" applyAlignment="1">
      <alignment horizontal="center" vertical="center"/>
    </xf>
    <xf numFmtId="2" fontId="46" fillId="2" borderId="1" xfId="0" applyNumberFormat="1" applyFont="1" applyFill="1" applyBorder="1" applyAlignment="1" applyProtection="1">
      <alignment horizontal="right" vertical="center" wrapText="1"/>
      <protection locked="0"/>
    </xf>
    <xf numFmtId="3" fontId="48" fillId="28" borderId="1" xfId="6" applyNumberFormat="1" applyFont="1" applyFill="1" applyBorder="1" applyAlignment="1" applyProtection="1">
      <alignment horizontal="center" vertical="center"/>
      <protection locked="0"/>
    </xf>
    <xf numFmtId="2" fontId="47" fillId="0" borderId="1" xfId="0" applyNumberFormat="1" applyFont="1" applyBorder="1" applyAlignment="1" applyProtection="1">
      <alignment horizontal="right" vertical="center" wrapText="1"/>
      <protection locked="0"/>
    </xf>
    <xf numFmtId="0" fontId="46" fillId="0" borderId="1" xfId="6" applyFont="1" applyBorder="1" applyAlignment="1">
      <alignment horizontal="center" vertical="center" wrapText="1"/>
    </xf>
    <xf numFmtId="0" fontId="46" fillId="0" borderId="0" xfId="6" applyFont="1" applyAlignment="1">
      <alignment horizontal="center" vertical="center" wrapText="1"/>
    </xf>
    <xf numFmtId="49" fontId="46" fillId="0" borderId="0" xfId="6" applyNumberFormat="1" applyFont="1" applyAlignment="1">
      <alignment horizontal="left" vertical="center" wrapText="1"/>
    </xf>
    <xf numFmtId="3" fontId="46" fillId="0" borderId="0" xfId="6" applyNumberFormat="1" applyFont="1" applyAlignment="1" applyProtection="1">
      <alignment horizontal="right" vertical="center" wrapText="1"/>
      <protection locked="0"/>
    </xf>
    <xf numFmtId="3" fontId="46" fillId="0" borderId="1" xfId="6" applyNumberFormat="1" applyFont="1" applyBorder="1" applyAlignment="1">
      <alignment horizontal="right" vertical="center" wrapText="1"/>
    </xf>
    <xf numFmtId="0" fontId="47" fillId="0" borderId="1" xfId="1" applyFont="1" applyBorder="1" applyAlignment="1">
      <alignment vertical="center" wrapText="1"/>
    </xf>
    <xf numFmtId="0" fontId="34" fillId="0" borderId="0" xfId="1" applyFont="1" applyAlignment="1">
      <alignment vertical="center" wrapText="1"/>
    </xf>
    <xf numFmtId="3" fontId="47" fillId="0" borderId="3" xfId="0" applyNumberFormat="1" applyFont="1" applyBorder="1" applyAlignment="1" applyProtection="1">
      <alignment horizontal="right" vertical="center"/>
      <protection locked="0"/>
    </xf>
    <xf numFmtId="49" fontId="34" fillId="0" borderId="1" xfId="1467" applyNumberFormat="1" applyFont="1" applyBorder="1" applyAlignment="1" applyProtection="1">
      <alignment horizontal="center" vertical="center" wrapText="1"/>
      <protection locked="0"/>
    </xf>
    <xf numFmtId="3" fontId="46" fillId="30" borderId="1" xfId="0" applyNumberFormat="1" applyFont="1" applyFill="1" applyBorder="1" applyAlignment="1">
      <alignment horizontal="right" vertical="center"/>
    </xf>
    <xf numFmtId="3" fontId="46" fillId="30" borderId="1" xfId="0" applyNumberFormat="1" applyFont="1" applyFill="1" applyBorder="1" applyAlignment="1">
      <alignment horizontal="center" vertical="center"/>
    </xf>
    <xf numFmtId="9" fontId="51" fillId="0" borderId="1" xfId="12" applyFont="1" applyFill="1" applyBorder="1" applyAlignment="1" applyProtection="1">
      <alignment horizontal="center" vertical="center"/>
    </xf>
    <xf numFmtId="9" fontId="51" fillId="32" borderId="1" xfId="12" applyFont="1" applyFill="1" applyBorder="1" applyAlignment="1" applyProtection="1">
      <alignment horizontal="center" vertical="center"/>
    </xf>
    <xf numFmtId="49" fontId="47" fillId="33" borderId="1" xfId="6" applyNumberFormat="1" applyFont="1" applyFill="1" applyBorder="1" applyAlignment="1" applyProtection="1">
      <alignment horizontal="left" vertical="center" wrapText="1"/>
      <protection locked="0"/>
    </xf>
    <xf numFmtId="0" fontId="34" fillId="4" borderId="27" xfId="0" applyFont="1" applyFill="1" applyBorder="1" applyAlignment="1">
      <alignment horizontal="left" vertical="center" wrapText="1"/>
    </xf>
    <xf numFmtId="0" fontId="64" fillId="0" borderId="27" xfId="0" applyFont="1" applyBorder="1"/>
    <xf numFmtId="0" fontId="64" fillId="0" borderId="27" xfId="0" applyFont="1" applyBorder="1" applyAlignment="1">
      <alignment wrapText="1"/>
    </xf>
    <xf numFmtId="0" fontId="47" fillId="34" borderId="1" xfId="0" applyFont="1" applyFill="1" applyBorder="1" applyAlignment="1">
      <alignment wrapText="1"/>
    </xf>
    <xf numFmtId="0" fontId="47" fillId="34" borderId="6" xfId="0" applyFont="1" applyFill="1" applyBorder="1" applyAlignment="1">
      <alignment wrapText="1"/>
    </xf>
    <xf numFmtId="0" fontId="47" fillId="0" borderId="1" xfId="0" applyFont="1" applyBorder="1" applyAlignment="1">
      <alignment wrapText="1"/>
    </xf>
    <xf numFmtId="0" fontId="46" fillId="34" borderId="1" xfId="0" applyFont="1" applyFill="1" applyBorder="1" applyAlignment="1">
      <alignment wrapText="1"/>
    </xf>
    <xf numFmtId="3" fontId="65" fillId="0" borderId="1" xfId="5" applyNumberFormat="1" applyFont="1" applyBorder="1" applyAlignment="1" applyProtection="1">
      <alignment vertical="center" wrapText="1"/>
      <protection locked="0"/>
    </xf>
    <xf numFmtId="3" fontId="34" fillId="2" borderId="6" xfId="6" applyNumberFormat="1" applyFont="1" applyFill="1" applyBorder="1" applyAlignment="1">
      <alignment vertical="center" wrapText="1"/>
    </xf>
    <xf numFmtId="49" fontId="47" fillId="0" borderId="5" xfId="1" applyNumberFormat="1" applyFont="1" applyBorder="1" applyAlignment="1">
      <alignment horizontal="center" vertical="center" wrapText="1"/>
    </xf>
    <xf numFmtId="1" fontId="47" fillId="0" borderId="1" xfId="0" applyNumberFormat="1" applyFont="1" applyBorder="1" applyAlignment="1">
      <alignment horizontal="right" vertical="center" wrapText="1"/>
    </xf>
    <xf numFmtId="0" fontId="34" fillId="35" borderId="1" xfId="0" applyFont="1" applyFill="1" applyBorder="1" applyAlignment="1">
      <alignment wrapText="1"/>
    </xf>
    <xf numFmtId="49" fontId="34" fillId="33" borderId="1" xfId="1467" applyNumberFormat="1" applyFont="1" applyFill="1" applyBorder="1" applyAlignment="1" applyProtection="1">
      <alignment horizontal="left" vertical="center" wrapText="1"/>
      <protection locked="0"/>
    </xf>
    <xf numFmtId="168" fontId="34" fillId="33" borderId="1" xfId="1467" applyNumberFormat="1" applyFont="1" applyFill="1" applyBorder="1" applyAlignment="1" applyProtection="1">
      <alignment horizontal="left" vertical="center" wrapText="1"/>
      <protection locked="0"/>
    </xf>
    <xf numFmtId="3" fontId="48" fillId="33" borderId="1" xfId="0" applyNumberFormat="1" applyFont="1" applyFill="1" applyBorder="1" applyAlignment="1" applyProtection="1">
      <alignment horizontal="left" vertical="center" wrapText="1"/>
      <protection locked="0"/>
    </xf>
    <xf numFmtId="3" fontId="47" fillId="33" borderId="1" xfId="0" applyNumberFormat="1" applyFont="1" applyFill="1" applyBorder="1" applyAlignment="1" applyProtection="1">
      <alignment horizontal="left" vertical="center" wrapText="1"/>
      <protection locked="0"/>
    </xf>
    <xf numFmtId="49" fontId="48" fillId="33" borderId="1" xfId="12" applyNumberFormat="1" applyFont="1" applyFill="1" applyBorder="1" applyAlignment="1" applyProtection="1">
      <alignment horizontal="left" vertical="center" wrapText="1"/>
    </xf>
    <xf numFmtId="3" fontId="65" fillId="2" borderId="1" xfId="0" applyNumberFormat="1" applyFont="1" applyFill="1" applyBorder="1" applyAlignment="1" applyProtection="1">
      <alignment horizontal="right" vertical="center"/>
      <protection locked="0"/>
    </xf>
    <xf numFmtId="3" fontId="65" fillId="2" borderId="1" xfId="6" applyNumberFormat="1" applyFont="1" applyFill="1" applyBorder="1" applyAlignment="1" applyProtection="1">
      <alignment horizontal="right" vertical="center"/>
      <protection locked="0"/>
    </xf>
    <xf numFmtId="49" fontId="64" fillId="33" borderId="1" xfId="1467" applyNumberFormat="1" applyFont="1" applyFill="1" applyBorder="1" applyAlignment="1">
      <alignment horizontal="left" vertical="center" wrapText="1"/>
    </xf>
    <xf numFmtId="3" fontId="68" fillId="28" borderId="1" xfId="1" applyNumberFormat="1" applyFont="1" applyFill="1" applyBorder="1" applyAlignment="1">
      <alignment horizontal="right" vertical="center"/>
    </xf>
    <xf numFmtId="3" fontId="68" fillId="32" borderId="1" xfId="1" applyNumberFormat="1" applyFont="1" applyFill="1" applyBorder="1" applyAlignment="1">
      <alignment horizontal="right" vertical="center"/>
    </xf>
    <xf numFmtId="1" fontId="65" fillId="2" borderId="1" xfId="0" applyNumberFormat="1" applyFont="1" applyFill="1" applyBorder="1" applyAlignment="1" applyProtection="1">
      <alignment horizontal="right" vertical="center" wrapText="1"/>
      <protection locked="0"/>
    </xf>
    <xf numFmtId="3" fontId="65" fillId="2" borderId="1" xfId="0" applyNumberFormat="1" applyFont="1" applyFill="1" applyBorder="1" applyAlignment="1" applyProtection="1">
      <alignment horizontal="right" vertical="center" wrapText="1"/>
      <protection locked="0"/>
    </xf>
    <xf numFmtId="3" fontId="69" fillId="2" borderId="1" xfId="0" applyNumberFormat="1" applyFont="1" applyFill="1" applyBorder="1" applyAlignment="1">
      <alignment horizontal="center" vertical="center" wrapText="1"/>
    </xf>
    <xf numFmtId="166" fontId="69" fillId="2" borderId="1" xfId="12" applyNumberFormat="1" applyFont="1" applyFill="1" applyBorder="1" applyAlignment="1" applyProtection="1">
      <alignment horizontal="center" vertical="center" wrapText="1"/>
    </xf>
    <xf numFmtId="3" fontId="65" fillId="0" borderId="1" xfId="6" applyNumberFormat="1" applyFont="1" applyBorder="1" applyAlignment="1">
      <alignment horizontal="right" vertical="center" wrapText="1"/>
    </xf>
    <xf numFmtId="3" fontId="68" fillId="0" borderId="1" xfId="6" applyNumberFormat="1" applyFont="1" applyBorder="1" applyAlignment="1">
      <alignment horizontal="right" vertical="center" wrapText="1"/>
    </xf>
    <xf numFmtId="3" fontId="65" fillId="0" borderId="1" xfId="0" applyNumberFormat="1" applyFont="1" applyBorder="1" applyAlignment="1">
      <alignment horizontal="center" vertical="center" wrapText="1"/>
    </xf>
    <xf numFmtId="3" fontId="68" fillId="28" borderId="1" xfId="6" applyNumberFormat="1" applyFont="1" applyFill="1" applyBorder="1" applyAlignment="1">
      <alignment horizontal="right" vertical="center" wrapText="1"/>
    </xf>
    <xf numFmtId="3" fontId="65" fillId="0" borderId="1" xfId="6" applyNumberFormat="1" applyFont="1" applyBorder="1" applyAlignment="1" applyProtection="1">
      <alignment horizontal="right" vertical="center"/>
      <protection locked="0"/>
    </xf>
    <xf numFmtId="3" fontId="71" fillId="28" borderId="1" xfId="6" applyNumberFormat="1" applyFont="1" applyFill="1" applyBorder="1" applyAlignment="1">
      <alignment horizontal="right" vertical="center"/>
    </xf>
    <xf numFmtId="0" fontId="65" fillId="0" borderId="0" xfId="6" applyFont="1"/>
    <xf numFmtId="0" fontId="65" fillId="0" borderId="1" xfId="1" applyFont="1" applyBorder="1" applyAlignment="1">
      <alignment horizontal="center" vertical="center" wrapText="1"/>
    </xf>
    <xf numFmtId="0" fontId="65" fillId="0" borderId="1" xfId="1" applyFont="1" applyBorder="1" applyAlignment="1">
      <alignment horizontal="center" vertical="center"/>
    </xf>
    <xf numFmtId="0" fontId="68" fillId="31" borderId="1" xfId="1" applyFont="1" applyFill="1" applyBorder="1" applyAlignment="1">
      <alignment horizontal="center" vertical="center" wrapText="1"/>
    </xf>
    <xf numFmtId="3" fontId="65" fillId="28" borderId="1" xfId="0" applyNumberFormat="1" applyFont="1" applyFill="1" applyBorder="1" applyAlignment="1" applyProtection="1">
      <alignment horizontal="right" vertical="center" wrapText="1"/>
      <protection locked="0"/>
    </xf>
    <xf numFmtId="3" fontId="65" fillId="28" borderId="1" xfId="7" applyNumberFormat="1" applyFont="1" applyFill="1" applyBorder="1" applyAlignment="1" applyProtection="1">
      <alignment vertical="center" wrapText="1"/>
      <protection locked="0"/>
    </xf>
    <xf numFmtId="3" fontId="65" fillId="28" borderId="1" xfId="5" applyNumberFormat="1" applyFont="1" applyFill="1" applyBorder="1" applyAlignment="1" applyProtection="1">
      <alignment vertical="center" wrapText="1"/>
      <protection locked="0"/>
    </xf>
    <xf numFmtId="3" fontId="68" fillId="2" borderId="1" xfId="0" applyNumberFormat="1" applyFont="1" applyFill="1" applyBorder="1" applyAlignment="1" applyProtection="1">
      <alignment horizontal="right" vertical="center" wrapText="1"/>
      <protection locked="0"/>
    </xf>
    <xf numFmtId="3" fontId="68" fillId="2" borderId="1" xfId="7" applyNumberFormat="1" applyFont="1" applyFill="1" applyBorder="1" applyAlignment="1" applyProtection="1">
      <alignment vertical="center" wrapText="1"/>
      <protection locked="0"/>
    </xf>
    <xf numFmtId="3" fontId="68" fillId="2" borderId="1" xfId="5" applyNumberFormat="1" applyFont="1" applyFill="1" applyBorder="1" applyAlignment="1" applyProtection="1">
      <alignment vertical="center" wrapText="1"/>
      <protection locked="0"/>
    </xf>
    <xf numFmtId="3" fontId="65" fillId="2" borderId="1" xfId="7" applyNumberFormat="1" applyFont="1" applyFill="1" applyBorder="1" applyAlignment="1" applyProtection="1">
      <alignment vertical="center" wrapText="1"/>
      <protection locked="0"/>
    </xf>
    <xf numFmtId="3" fontId="65" fillId="2" borderId="1" xfId="5" applyNumberFormat="1" applyFont="1" applyFill="1" applyBorder="1" applyAlignment="1" applyProtection="1">
      <alignment vertical="center" wrapText="1"/>
      <protection locked="0"/>
    </xf>
    <xf numFmtId="0" fontId="65" fillId="0" borderId="3" xfId="0" applyFont="1" applyBorder="1" applyAlignment="1">
      <alignment wrapText="1"/>
    </xf>
    <xf numFmtId="3" fontId="65" fillId="0" borderId="1" xfId="0" applyNumberFormat="1" applyFont="1" applyBorder="1" applyAlignment="1" applyProtection="1">
      <alignment horizontal="right" vertical="center" wrapText="1"/>
      <protection locked="0"/>
    </xf>
    <xf numFmtId="3" fontId="65" fillId="0" borderId="1" xfId="7" applyNumberFormat="1" applyFont="1" applyBorder="1" applyAlignment="1" applyProtection="1">
      <alignment vertical="center" wrapText="1"/>
      <protection locked="0"/>
    </xf>
    <xf numFmtId="0" fontId="65" fillId="34" borderId="3" xfId="0" applyFont="1" applyFill="1" applyBorder="1" applyAlignment="1">
      <alignment wrapText="1"/>
    </xf>
    <xf numFmtId="3" fontId="68" fillId="0" borderId="1" xfId="7" applyNumberFormat="1" applyFont="1" applyBorder="1" applyAlignment="1" applyProtection="1">
      <alignment vertical="center" wrapText="1"/>
      <protection locked="0"/>
    </xf>
    <xf numFmtId="3" fontId="68" fillId="0" borderId="1" xfId="5" applyNumberFormat="1" applyFont="1" applyBorder="1" applyAlignment="1" applyProtection="1">
      <alignment vertical="center" wrapText="1"/>
      <protection locked="0"/>
    </xf>
    <xf numFmtId="3" fontId="68" fillId="28" borderId="1" xfId="1" applyNumberFormat="1" applyFont="1" applyFill="1" applyBorder="1" applyAlignment="1">
      <alignment vertical="center" wrapText="1"/>
    </xf>
    <xf numFmtId="3" fontId="68" fillId="28" borderId="4" xfId="1" applyNumberFormat="1" applyFont="1" applyFill="1" applyBorder="1" applyAlignment="1">
      <alignment vertical="center" wrapText="1"/>
    </xf>
    <xf numFmtId="0" fontId="65" fillId="0" borderId="27" xfId="0" applyFont="1" applyBorder="1" applyAlignment="1">
      <alignment wrapText="1"/>
    </xf>
    <xf numFmtId="3" fontId="65" fillId="0" borderId="6" xfId="1" applyNumberFormat="1" applyFont="1" applyBorder="1" applyAlignment="1">
      <alignment vertical="center" wrapText="1"/>
    </xf>
    <xf numFmtId="3" fontId="65" fillId="0" borderId="1" xfId="1" applyNumberFormat="1" applyFont="1" applyBorder="1" applyAlignment="1">
      <alignment vertical="center" wrapText="1"/>
    </xf>
    <xf numFmtId="0" fontId="65" fillId="0" borderId="2" xfId="0" applyFont="1" applyBorder="1" applyAlignment="1">
      <alignment wrapText="1"/>
    </xf>
    <xf numFmtId="3" fontId="68" fillId="0" borderId="1" xfId="1" applyNumberFormat="1" applyFont="1" applyBorder="1" applyAlignment="1">
      <alignment vertical="center" wrapText="1"/>
    </xf>
    <xf numFmtId="0" fontId="65" fillId="0" borderId="0" xfId="1" applyFont="1" applyAlignment="1">
      <alignment vertical="center"/>
    </xf>
    <xf numFmtId="0" fontId="64" fillId="0" borderId="29" xfId="0" applyFont="1" applyBorder="1"/>
    <xf numFmtId="0" fontId="73" fillId="0" borderId="29" xfId="0" applyFont="1" applyBorder="1"/>
    <xf numFmtId="0" fontId="47" fillId="34" borderId="5" xfId="0" applyFont="1" applyFill="1" applyBorder="1" applyAlignment="1">
      <alignment wrapText="1"/>
    </xf>
    <xf numFmtId="0" fontId="47" fillId="34" borderId="30" xfId="0" applyFont="1" applyFill="1" applyBorder="1" applyAlignment="1">
      <alignment wrapText="1"/>
    </xf>
    <xf numFmtId="0" fontId="47" fillId="0" borderId="27" xfId="1" applyFont="1" applyBorder="1" applyAlignment="1">
      <alignment vertical="center" wrapText="1"/>
    </xf>
    <xf numFmtId="0" fontId="65" fillId="0" borderId="12" xfId="0" applyFont="1" applyBorder="1" applyAlignment="1">
      <alignment wrapText="1"/>
    </xf>
    <xf numFmtId="0" fontId="65" fillId="0" borderId="31" xfId="0" applyFont="1" applyBorder="1" applyAlignment="1">
      <alignment wrapText="1"/>
    </xf>
    <xf numFmtId="49" fontId="34" fillId="33" borderId="1" xfId="1467" applyNumberFormat="1" applyFont="1" applyFill="1" applyBorder="1" applyAlignment="1" applyProtection="1">
      <alignment horizontal="center" vertical="center" wrapText="1"/>
      <protection locked="0"/>
    </xf>
    <xf numFmtId="49" fontId="34" fillId="33" borderId="1" xfId="1467" applyNumberFormat="1" applyFont="1" applyFill="1" applyBorder="1" applyAlignment="1">
      <alignment horizontal="center" vertical="center" wrapText="1"/>
    </xf>
    <xf numFmtId="3" fontId="34" fillId="28" borderId="1" xfId="1467" applyNumberFormat="1" applyFont="1" applyFill="1" applyBorder="1" applyAlignment="1" applyProtection="1">
      <alignment horizontal="center" vertical="center"/>
      <protection locked="0"/>
    </xf>
    <xf numFmtId="49" fontId="34" fillId="2" borderId="1" xfId="1467" applyNumberFormat="1" applyFont="1" applyFill="1" applyBorder="1" applyAlignment="1">
      <alignment horizontal="center" vertical="center"/>
    </xf>
    <xf numFmtId="0" fontId="48" fillId="35" borderId="1" xfId="0" applyFont="1" applyFill="1" applyBorder="1" applyAlignment="1">
      <alignment wrapText="1"/>
    </xf>
    <xf numFmtId="0" fontId="48" fillId="0" borderId="1" xfId="0" applyFont="1" applyBorder="1" applyAlignment="1">
      <alignment wrapText="1"/>
    </xf>
    <xf numFmtId="0" fontId="34" fillId="4" borderId="0" xfId="0" applyFont="1" applyFill="1" applyAlignment="1">
      <alignment horizontal="left" vertical="center" wrapText="1"/>
    </xf>
    <xf numFmtId="3" fontId="65" fillId="2" borderId="1" xfId="1" applyNumberFormat="1" applyFont="1" applyFill="1" applyBorder="1" applyAlignment="1" applyProtection="1">
      <alignment horizontal="right" vertical="center"/>
      <protection locked="0"/>
    </xf>
    <xf numFmtId="3" fontId="68" fillId="28" borderId="1" xfId="1" applyNumberFormat="1" applyFont="1" applyFill="1" applyBorder="1" applyAlignment="1" applyProtection="1">
      <alignment horizontal="right" vertical="center"/>
      <protection locked="0"/>
    </xf>
    <xf numFmtId="3" fontId="65" fillId="0" borderId="1" xfId="1" applyNumberFormat="1" applyFont="1" applyBorder="1" applyAlignment="1" applyProtection="1">
      <alignment horizontal="right" vertical="center"/>
      <protection locked="0"/>
    </xf>
    <xf numFmtId="0" fontId="65" fillId="0" borderId="0" xfId="0" applyFont="1" applyAlignment="1" applyProtection="1">
      <alignment vertical="center"/>
      <protection locked="0"/>
    </xf>
    <xf numFmtId="3" fontId="68" fillId="31" borderId="1" xfId="1" applyNumberFormat="1" applyFont="1" applyFill="1" applyBorder="1" applyAlignment="1">
      <alignment horizontal="right" vertical="center"/>
    </xf>
    <xf numFmtId="3" fontId="68" fillId="28" borderId="1" xfId="1" applyNumberFormat="1" applyFont="1" applyFill="1" applyBorder="1" applyAlignment="1">
      <alignment horizontal="right" vertical="center" wrapText="1"/>
    </xf>
    <xf numFmtId="3" fontId="68" fillId="0" borderId="0" xfId="1" applyNumberFormat="1" applyFont="1" applyAlignment="1">
      <alignment horizontal="right" vertical="center" wrapText="1"/>
    </xf>
    <xf numFmtId="0" fontId="65" fillId="0" borderId="0" xfId="0" applyFont="1" applyAlignment="1" applyProtection="1">
      <alignment vertical="center" wrapText="1"/>
      <protection locked="0"/>
    </xf>
    <xf numFmtId="49" fontId="34" fillId="2" borderId="1" xfId="1467" applyNumberFormat="1" applyFont="1" applyFill="1" applyBorder="1" applyAlignment="1" applyProtection="1">
      <alignment horizontal="center" vertical="center"/>
      <protection locked="0"/>
    </xf>
    <xf numFmtId="3" fontId="65" fillId="2" borderId="1" xfId="0" applyNumberFormat="1" applyFont="1" applyFill="1" applyBorder="1" applyAlignment="1" applyProtection="1">
      <alignment vertical="center" wrapText="1"/>
      <protection locked="0"/>
    </xf>
    <xf numFmtId="3" fontId="68" fillId="2" borderId="1" xfId="0" applyNumberFormat="1" applyFont="1" applyFill="1" applyBorder="1" applyAlignment="1" applyProtection="1">
      <alignment vertical="center" wrapText="1"/>
      <protection locked="0"/>
    </xf>
    <xf numFmtId="3" fontId="65" fillId="0" borderId="3" xfId="0" applyNumberFormat="1" applyFont="1" applyBorder="1" applyAlignment="1">
      <alignment wrapText="1"/>
    </xf>
    <xf numFmtId="3" fontId="65" fillId="34" borderId="3" xfId="0" applyNumberFormat="1" applyFont="1" applyFill="1" applyBorder="1" applyAlignment="1">
      <alignment wrapText="1"/>
    </xf>
    <xf numFmtId="3" fontId="65" fillId="0" borderId="1" xfId="0" applyNumberFormat="1" applyFont="1" applyBorder="1" applyAlignment="1" applyProtection="1">
      <alignment vertical="center" wrapText="1"/>
      <protection locked="0"/>
    </xf>
    <xf numFmtId="0" fontId="34" fillId="0" borderId="4" xfId="0" applyFont="1" applyBorder="1"/>
    <xf numFmtId="3" fontId="68" fillId="0" borderId="4" xfId="7" applyNumberFormat="1" applyFont="1" applyBorder="1" applyAlignment="1" applyProtection="1">
      <alignment vertical="center" wrapText="1"/>
      <protection locked="0"/>
    </xf>
    <xf numFmtId="3" fontId="68" fillId="0" borderId="4" xfId="5" applyNumberFormat="1" applyFont="1" applyBorder="1" applyAlignment="1" applyProtection="1">
      <alignment vertical="center" wrapText="1"/>
      <protection locked="0"/>
    </xf>
    <xf numFmtId="3" fontId="72" fillId="2" borderId="29" xfId="6" applyNumberFormat="1" applyFont="1" applyFill="1" applyBorder="1" applyAlignment="1">
      <alignment vertical="center" wrapText="1"/>
    </xf>
    <xf numFmtId="3" fontId="68" fillId="2" borderId="32" xfId="7" applyNumberFormat="1" applyFont="1" applyFill="1" applyBorder="1" applyAlignment="1" applyProtection="1">
      <alignment vertical="center" wrapText="1"/>
      <protection locked="0"/>
    </xf>
    <xf numFmtId="3" fontId="68" fillId="2" borderId="32" xfId="5" applyNumberFormat="1" applyFont="1" applyFill="1" applyBorder="1" applyAlignment="1" applyProtection="1">
      <alignment vertical="center" wrapText="1"/>
      <protection locked="0"/>
    </xf>
    <xf numFmtId="3" fontId="64" fillId="2" borderId="6" xfId="7" applyNumberFormat="1" applyFont="1" applyFill="1" applyBorder="1" applyAlignment="1" applyProtection="1">
      <alignment vertical="center" wrapText="1"/>
      <protection locked="0"/>
    </xf>
    <xf numFmtId="3" fontId="64" fillId="2" borderId="6" xfId="5" applyNumberFormat="1" applyFont="1" applyFill="1" applyBorder="1" applyAlignment="1" applyProtection="1">
      <alignment vertical="center" wrapText="1"/>
      <protection locked="0"/>
    </xf>
    <xf numFmtId="3" fontId="73" fillId="0" borderId="27" xfId="0" applyNumberFormat="1" applyFont="1" applyBorder="1"/>
    <xf numFmtId="3" fontId="73" fillId="2" borderId="27" xfId="5" applyNumberFormat="1" applyFont="1" applyFill="1" applyBorder="1" applyAlignment="1" applyProtection="1">
      <alignment vertical="center" wrapText="1"/>
      <protection locked="0"/>
    </xf>
    <xf numFmtId="3" fontId="68" fillId="2" borderId="32" xfId="0" applyNumberFormat="1" applyFont="1" applyFill="1" applyBorder="1" applyAlignment="1" applyProtection="1">
      <alignment vertical="center" wrapText="1"/>
      <protection locked="0"/>
    </xf>
    <xf numFmtId="3" fontId="68" fillId="28" borderId="1" xfId="0" applyNumberFormat="1" applyFont="1" applyFill="1" applyBorder="1" applyAlignment="1" applyProtection="1">
      <alignment vertical="center" wrapText="1"/>
      <protection locked="0"/>
    </xf>
    <xf numFmtId="3" fontId="68" fillId="31" borderId="1" xfId="1" applyNumberFormat="1" applyFont="1" applyFill="1" applyBorder="1" applyAlignment="1">
      <alignment horizontal="center" vertical="center" wrapText="1"/>
    </xf>
    <xf numFmtId="1" fontId="65" fillId="0" borderId="2" xfId="0" applyNumberFormat="1" applyFont="1" applyBorder="1" applyAlignment="1">
      <alignment wrapText="1"/>
    </xf>
    <xf numFmtId="49" fontId="47" fillId="0" borderId="30" xfId="1" applyNumberFormat="1" applyFont="1" applyBorder="1" applyAlignment="1">
      <alignment horizontal="center" vertical="center" wrapText="1"/>
    </xf>
    <xf numFmtId="3" fontId="68" fillId="28" borderId="27" xfId="1" applyNumberFormat="1" applyFont="1" applyFill="1" applyBorder="1" applyAlignment="1">
      <alignment vertical="center" wrapText="1"/>
    </xf>
    <xf numFmtId="3" fontId="65" fillId="0" borderId="27" xfId="1" applyNumberFormat="1" applyFont="1" applyBorder="1" applyAlignment="1">
      <alignment vertical="center" wrapText="1"/>
    </xf>
    <xf numFmtId="3" fontId="46" fillId="28" borderId="33" xfId="6" applyNumberFormat="1" applyFont="1" applyFill="1" applyBorder="1" applyAlignment="1">
      <alignment vertical="center" wrapText="1"/>
    </xf>
    <xf numFmtId="3" fontId="47" fillId="0" borderId="29" xfId="6" applyNumberFormat="1" applyFont="1" applyBorder="1" applyAlignment="1">
      <alignment vertical="center" wrapText="1"/>
    </xf>
    <xf numFmtId="3" fontId="72" fillId="2" borderId="30" xfId="6" applyNumberFormat="1" applyFont="1" applyFill="1" applyBorder="1" applyAlignment="1">
      <alignment vertical="center" wrapText="1"/>
    </xf>
    <xf numFmtId="3" fontId="65" fillId="31" borderId="4" xfId="7" applyNumberFormat="1" applyFont="1" applyFill="1" applyBorder="1" applyAlignment="1" applyProtection="1">
      <alignment vertical="center" wrapText="1"/>
      <protection locked="0"/>
    </xf>
    <xf numFmtId="3" fontId="65" fillId="31" borderId="4" xfId="5" applyNumberFormat="1" applyFont="1" applyFill="1" applyBorder="1" applyAlignment="1" applyProtection="1">
      <alignment vertical="center" wrapText="1"/>
      <protection locked="0"/>
    </xf>
    <xf numFmtId="3" fontId="46" fillId="2" borderId="3" xfId="0" applyNumberFormat="1" applyFont="1" applyFill="1" applyBorder="1" applyAlignment="1">
      <alignment horizontal="right" vertical="center" wrapText="1"/>
    </xf>
    <xf numFmtId="3" fontId="46" fillId="33" borderId="1" xfId="0" applyNumberFormat="1" applyFont="1" applyFill="1" applyBorder="1" applyAlignment="1" applyProtection="1">
      <alignment horizontal="left" vertical="center" wrapText="1"/>
      <protection locked="0"/>
    </xf>
    <xf numFmtId="3" fontId="73" fillId="0" borderId="1" xfId="0" applyNumberFormat="1" applyFont="1" applyBorder="1" applyAlignment="1">
      <alignment horizontal="center" vertical="center" wrapText="1"/>
    </xf>
    <xf numFmtId="0" fontId="78" fillId="33" borderId="0" xfId="0" applyFont="1" applyFill="1" applyAlignment="1">
      <alignment wrapText="1"/>
    </xf>
    <xf numFmtId="0" fontId="78" fillId="33" borderId="27" xfId="0" applyFont="1" applyFill="1" applyBorder="1" applyAlignment="1">
      <alignment wrapText="1"/>
    </xf>
    <xf numFmtId="9" fontId="59" fillId="0" borderId="5" xfId="12" applyFont="1" applyFill="1" applyBorder="1" applyAlignment="1" applyProtection="1">
      <alignment horizontal="center" vertical="center"/>
    </xf>
    <xf numFmtId="3" fontId="34" fillId="0" borderId="3" xfId="1467" applyNumberFormat="1" applyFont="1" applyBorder="1" applyAlignment="1" applyProtection="1">
      <alignment horizontal="center" vertical="center"/>
      <protection locked="0"/>
    </xf>
    <xf numFmtId="49" fontId="34" fillId="0" borderId="6" xfId="1467" applyNumberFormat="1" applyFont="1" applyBorder="1" applyAlignment="1" applyProtection="1">
      <alignment horizontal="center" vertical="center"/>
      <protection locked="0"/>
    </xf>
    <xf numFmtId="0" fontId="46" fillId="31" borderId="1" xfId="0" applyFont="1" applyFill="1" applyBorder="1" applyAlignment="1">
      <alignment horizontal="right" vertical="center"/>
    </xf>
    <xf numFmtId="49" fontId="46" fillId="29" borderId="1" xfId="0" applyNumberFormat="1" applyFont="1" applyFill="1" applyBorder="1" applyAlignment="1">
      <alignment horizontal="right" vertical="center"/>
    </xf>
    <xf numFmtId="49" fontId="46" fillId="28" borderId="1" xfId="0" applyNumberFormat="1" applyFont="1" applyFill="1" applyBorder="1" applyAlignment="1">
      <alignment horizontal="right" vertical="center"/>
    </xf>
    <xf numFmtId="49" fontId="46" fillId="2" borderId="1" xfId="0" applyNumberFormat="1" applyFont="1" applyFill="1" applyBorder="1" applyAlignment="1">
      <alignment horizontal="right" vertical="center"/>
    </xf>
    <xf numFmtId="49" fontId="46" fillId="0" borderId="1" xfId="0" applyNumberFormat="1" applyFont="1" applyBorder="1" applyAlignment="1">
      <alignment horizontal="right" vertical="center"/>
    </xf>
    <xf numFmtId="0" fontId="46" fillId="29" borderId="1" xfId="0" applyFont="1" applyFill="1" applyBorder="1" applyAlignment="1">
      <alignment horizontal="right" vertical="center"/>
    </xf>
    <xf numFmtId="0" fontId="46" fillId="28" borderId="1" xfId="0" applyFont="1" applyFill="1" applyBorder="1" applyAlignment="1">
      <alignment horizontal="right" vertical="center"/>
    </xf>
    <xf numFmtId="0" fontId="46" fillId="2" borderId="1" xfId="0" applyFont="1" applyFill="1" applyBorder="1" applyAlignment="1">
      <alignment horizontal="right" vertical="center"/>
    </xf>
    <xf numFmtId="0" fontId="46" fillId="0" borderId="1" xfId="0" applyFont="1" applyBorder="1" applyAlignment="1">
      <alignment horizontal="right" vertical="center"/>
    </xf>
    <xf numFmtId="0" fontId="46" fillId="28" borderId="1" xfId="1" applyFont="1" applyFill="1" applyBorder="1" applyAlignment="1">
      <alignment horizontal="right" vertical="center"/>
    </xf>
    <xf numFmtId="0" fontId="46" fillId="0" borderId="1" xfId="1" applyFont="1" applyBorder="1" applyAlignment="1">
      <alignment horizontal="right" vertical="center"/>
    </xf>
    <xf numFmtId="0" fontId="46" fillId="2" borderId="1" xfId="1" applyFont="1" applyFill="1" applyBorder="1" applyAlignment="1">
      <alignment horizontal="right" vertical="center"/>
    </xf>
    <xf numFmtId="49" fontId="46" fillId="28" borderId="1" xfId="1" applyNumberFormat="1" applyFont="1" applyFill="1" applyBorder="1" applyAlignment="1">
      <alignment horizontal="right" vertical="center"/>
    </xf>
    <xf numFmtId="49" fontId="47" fillId="2" borderId="1" xfId="1" applyNumberFormat="1" applyFont="1" applyFill="1" applyBorder="1" applyAlignment="1">
      <alignment horizontal="right" vertical="center"/>
    </xf>
    <xf numFmtId="0" fontId="47" fillId="28" borderId="1" xfId="0" applyFont="1" applyFill="1" applyBorder="1" applyAlignment="1">
      <alignment horizontal="right" vertical="center"/>
    </xf>
    <xf numFmtId="0" fontId="46" fillId="30" borderId="1" xfId="0" applyFont="1" applyFill="1" applyBorder="1" applyAlignment="1">
      <alignment horizontal="right" vertical="center"/>
    </xf>
    <xf numFmtId="3" fontId="40" fillId="0" borderId="0" xfId="0" applyNumberFormat="1" applyFont="1" applyAlignment="1">
      <alignment horizontal="right" vertical="center"/>
    </xf>
    <xf numFmtId="0" fontId="78" fillId="28" borderId="0" xfId="0" applyFont="1" applyFill="1" applyAlignment="1">
      <alignment wrapText="1"/>
    </xf>
    <xf numFmtId="9" fontId="51" fillId="0" borderId="5" xfId="12" applyFont="1" applyFill="1" applyBorder="1" applyAlignment="1" applyProtection="1">
      <alignment horizontal="center" vertical="center"/>
      <protection locked="0"/>
    </xf>
    <xf numFmtId="3" fontId="46" fillId="28" borderId="3" xfId="6" applyNumberFormat="1" applyFont="1" applyFill="1" applyBorder="1" applyAlignment="1">
      <alignment horizontal="right" vertical="center"/>
    </xf>
    <xf numFmtId="3" fontId="46" fillId="0" borderId="3" xfId="6" applyNumberFormat="1" applyFont="1" applyBorder="1" applyAlignment="1" applyProtection="1">
      <alignment horizontal="right" vertical="center"/>
      <protection locked="0"/>
    </xf>
    <xf numFmtId="49" fontId="46" fillId="0" borderId="4" xfId="6" applyNumberFormat="1" applyFont="1" applyBorder="1" applyAlignment="1" applyProtection="1">
      <alignment horizontal="left" vertical="center"/>
      <protection locked="0"/>
    </xf>
    <xf numFmtId="49" fontId="47" fillId="33" borderId="4" xfId="6" applyNumberFormat="1" applyFont="1" applyFill="1" applyBorder="1" applyAlignment="1">
      <alignment horizontal="left" vertical="center" wrapText="1"/>
    </xf>
    <xf numFmtId="3" fontId="51" fillId="33" borderId="4" xfId="0" applyNumberFormat="1" applyFont="1" applyFill="1" applyBorder="1" applyAlignment="1">
      <alignment horizontal="left" vertical="center" wrapText="1"/>
    </xf>
    <xf numFmtId="3" fontId="51" fillId="33" borderId="1" xfId="0" applyNumberFormat="1" applyFont="1" applyFill="1" applyBorder="1" applyAlignment="1" applyProtection="1">
      <alignment vertical="center" wrapText="1"/>
      <protection locked="0"/>
    </xf>
    <xf numFmtId="49" fontId="48" fillId="33" borderId="1" xfId="12" applyNumberFormat="1" applyFont="1" applyFill="1" applyBorder="1" applyAlignment="1" applyProtection="1">
      <alignment horizontal="left" vertical="center" wrapText="1" shrinkToFit="1"/>
    </xf>
    <xf numFmtId="1" fontId="51" fillId="0" borderId="1" xfId="0" applyNumberFormat="1" applyFont="1" applyBorder="1" applyAlignment="1">
      <alignment horizontal="center" vertical="center" wrapText="1"/>
    </xf>
    <xf numFmtId="49" fontId="34" fillId="33" borderId="1" xfId="1467" applyNumberFormat="1" applyFont="1" applyFill="1" applyBorder="1" applyAlignment="1" applyProtection="1">
      <alignment vertical="center" wrapText="1"/>
      <protection locked="0"/>
    </xf>
    <xf numFmtId="3" fontId="34" fillId="0" borderId="0" xfId="1467" applyNumberFormat="1" applyFont="1" applyAlignment="1" applyProtection="1">
      <alignment horizontal="center" vertical="center"/>
      <protection locked="0"/>
    </xf>
    <xf numFmtId="3" fontId="0" fillId="0" borderId="0" xfId="0" applyNumberFormat="1" applyAlignment="1">
      <alignment vertical="center"/>
    </xf>
    <xf numFmtId="0" fontId="0" fillId="0" borderId="0" xfId="0" applyAlignment="1">
      <alignment vertical="center"/>
    </xf>
    <xf numFmtId="169" fontId="0" fillId="0" borderId="0" xfId="0" applyNumberFormat="1" applyAlignment="1">
      <alignment vertical="center"/>
    </xf>
    <xf numFmtId="49" fontId="34" fillId="33" borderId="1" xfId="1467" applyNumberFormat="1" applyFont="1" applyFill="1" applyBorder="1" applyAlignment="1">
      <alignment horizontal="left" vertical="center" wrapText="1"/>
    </xf>
    <xf numFmtId="3" fontId="57" fillId="28" borderId="1" xfId="1467" applyNumberFormat="1" applyFont="1" applyFill="1" applyBorder="1" applyAlignment="1">
      <alignment horizontal="left" vertical="center" wrapText="1"/>
    </xf>
    <xf numFmtId="3" fontId="34" fillId="28" borderId="1" xfId="1467" applyNumberFormat="1" applyFont="1" applyFill="1" applyBorder="1" applyAlignment="1">
      <alignment horizontal="center" vertical="center"/>
    </xf>
    <xf numFmtId="49" fontId="34" fillId="0" borderId="7" xfId="6" applyNumberFormat="1" applyFont="1" applyBorder="1" applyAlignment="1">
      <alignment horizontal="left" vertical="center" wrapText="1"/>
    </xf>
    <xf numFmtId="49" fontId="34" fillId="0" borderId="6" xfId="6" applyNumberFormat="1" applyFont="1" applyBorder="1" applyAlignment="1">
      <alignment horizontal="left" vertical="center" wrapText="1"/>
    </xf>
    <xf numFmtId="0" fontId="65" fillId="0" borderId="0" xfId="0" applyFont="1" applyAlignment="1">
      <alignment vertical="center"/>
    </xf>
    <xf numFmtId="0" fontId="68" fillId="32" borderId="1" xfId="1" applyFont="1" applyFill="1" applyBorder="1" applyAlignment="1">
      <alignment horizontal="center" vertical="center"/>
    </xf>
    <xf numFmtId="3" fontId="68" fillId="32" borderId="1" xfId="6" applyNumberFormat="1" applyFont="1" applyFill="1" applyBorder="1" applyAlignment="1">
      <alignment horizontal="left" vertical="center" wrapText="1"/>
    </xf>
    <xf numFmtId="3" fontId="79" fillId="32" borderId="1" xfId="1" applyNumberFormat="1" applyFont="1" applyFill="1" applyBorder="1" applyAlignment="1">
      <alignment horizontal="center" vertical="center"/>
    </xf>
    <xf numFmtId="9" fontId="79" fillId="32" borderId="1" xfId="12" applyFont="1" applyFill="1" applyBorder="1" applyAlignment="1" applyProtection="1">
      <alignment horizontal="center" vertical="center"/>
    </xf>
    <xf numFmtId="49" fontId="68" fillId="32" borderId="26" xfId="1" applyNumberFormat="1" applyFont="1" applyFill="1" applyBorder="1" applyAlignment="1">
      <alignment horizontal="left" vertical="center"/>
    </xf>
    <xf numFmtId="49" fontId="65" fillId="32" borderId="26" xfId="1" applyNumberFormat="1" applyFont="1" applyFill="1" applyBorder="1" applyAlignment="1">
      <alignment horizontal="left" vertical="center"/>
    </xf>
    <xf numFmtId="3" fontId="68" fillId="32" borderId="1" xfId="1" applyNumberFormat="1" applyFont="1" applyFill="1" applyBorder="1" applyAlignment="1" applyProtection="1">
      <alignment horizontal="right" vertical="center"/>
      <protection locked="0"/>
    </xf>
    <xf numFmtId="0" fontId="65" fillId="0" borderId="1" xfId="1467" applyFont="1" applyBorder="1" applyAlignment="1">
      <alignment horizontal="center" vertical="center"/>
    </xf>
    <xf numFmtId="3" fontId="65" fillId="2" borderId="1" xfId="6" applyNumberFormat="1" applyFont="1" applyFill="1" applyBorder="1" applyAlignment="1">
      <alignment horizontal="center" vertical="center" wrapText="1"/>
    </xf>
    <xf numFmtId="3" fontId="69" fillId="3" borderId="1" xfId="0" applyNumberFormat="1" applyFont="1" applyFill="1" applyBorder="1" applyAlignment="1">
      <alignment horizontal="center" vertical="center" wrapText="1"/>
    </xf>
    <xf numFmtId="166" fontId="69" fillId="3" borderId="1" xfId="12" applyNumberFormat="1" applyFont="1" applyFill="1" applyBorder="1" applyAlignment="1" applyProtection="1">
      <alignment horizontal="center" vertical="center" wrapText="1"/>
    </xf>
    <xf numFmtId="0" fontId="65" fillId="0" borderId="1" xfId="0" applyFont="1" applyBorder="1" applyAlignment="1">
      <alignment horizontal="center" vertical="center"/>
    </xf>
    <xf numFmtId="3" fontId="69" fillId="3" borderId="1" xfId="12" applyNumberFormat="1" applyFont="1" applyFill="1" applyBorder="1" applyAlignment="1" applyProtection="1">
      <alignment horizontal="center" vertical="center" wrapText="1"/>
    </xf>
    <xf numFmtId="0" fontId="68" fillId="28" borderId="1" xfId="1" applyFont="1" applyFill="1" applyBorder="1" applyAlignment="1">
      <alignment horizontal="center" vertical="center"/>
    </xf>
    <xf numFmtId="3" fontId="68" fillId="28" borderId="1" xfId="6" applyNumberFormat="1" applyFont="1" applyFill="1" applyBorder="1" applyAlignment="1">
      <alignment horizontal="left" vertical="center" wrapText="1"/>
    </xf>
    <xf numFmtId="3" fontId="79" fillId="28" borderId="1" xfId="1" applyNumberFormat="1" applyFont="1" applyFill="1" applyBorder="1" applyAlignment="1">
      <alignment horizontal="center" vertical="center"/>
    </xf>
    <xf numFmtId="9" fontId="79" fillId="28" borderId="1" xfId="12" applyFont="1" applyFill="1" applyBorder="1" applyAlignment="1" applyProtection="1">
      <alignment horizontal="center" vertical="center"/>
    </xf>
    <xf numFmtId="0" fontId="65" fillId="2" borderId="1" xfId="1" applyFont="1" applyFill="1" applyBorder="1" applyAlignment="1">
      <alignment horizontal="right" vertical="center"/>
    </xf>
    <xf numFmtId="3" fontId="65" fillId="2" borderId="1" xfId="6" applyNumberFormat="1" applyFont="1" applyFill="1" applyBorder="1" applyAlignment="1">
      <alignment horizontal="left" vertical="center" wrapText="1"/>
    </xf>
    <xf numFmtId="3" fontId="69" fillId="2" borderId="1" xfId="1" applyNumberFormat="1" applyFont="1" applyFill="1" applyBorder="1" applyAlignment="1" applyProtection="1">
      <alignment horizontal="center" vertical="center"/>
      <protection locked="0"/>
    </xf>
    <xf numFmtId="9" fontId="69" fillId="2" borderId="1" xfId="12" applyFont="1" applyFill="1" applyBorder="1" applyAlignment="1" applyProtection="1">
      <alignment horizontal="center" vertical="center"/>
      <protection locked="0"/>
    </xf>
    <xf numFmtId="3" fontId="69" fillId="28" borderId="1" xfId="1" applyNumberFormat="1" applyFont="1" applyFill="1" applyBorder="1" applyAlignment="1" applyProtection="1">
      <alignment horizontal="center" vertical="center"/>
      <protection locked="0"/>
    </xf>
    <xf numFmtId="49" fontId="65" fillId="33" borderId="4" xfId="1" applyNumberFormat="1" applyFont="1" applyFill="1" applyBorder="1" applyAlignment="1">
      <alignment horizontal="center" vertical="center" wrapText="1"/>
    </xf>
    <xf numFmtId="3" fontId="65" fillId="0" borderId="1" xfId="14" applyNumberFormat="1" applyFont="1" applyFill="1" applyBorder="1" applyAlignment="1" applyProtection="1">
      <alignment horizontal="right" vertical="center"/>
      <protection locked="0"/>
    </xf>
    <xf numFmtId="49" fontId="65" fillId="33" borderId="7" xfId="1" applyNumberFormat="1" applyFont="1" applyFill="1" applyBorder="1" applyAlignment="1">
      <alignment horizontal="center" vertical="center" wrapText="1"/>
    </xf>
    <xf numFmtId="9" fontId="69" fillId="0" borderId="1" xfId="12" applyFont="1" applyFill="1" applyBorder="1" applyAlignment="1" applyProtection="1">
      <alignment horizontal="center" vertical="center"/>
      <protection locked="0"/>
    </xf>
    <xf numFmtId="9" fontId="79" fillId="28" borderId="5" xfId="12" applyFont="1" applyFill="1" applyBorder="1" applyAlignment="1" applyProtection="1">
      <alignment horizontal="center" vertical="center"/>
    </xf>
    <xf numFmtId="3" fontId="68" fillId="28" borderId="3" xfId="1" applyNumberFormat="1" applyFont="1" applyFill="1" applyBorder="1" applyAlignment="1">
      <alignment horizontal="right" vertical="center"/>
    </xf>
    <xf numFmtId="49" fontId="65" fillId="28" borderId="1" xfId="1" applyNumberFormat="1" applyFont="1" applyFill="1" applyBorder="1" applyAlignment="1">
      <alignment horizontal="center" vertical="center"/>
    </xf>
    <xf numFmtId="49" fontId="68" fillId="28" borderId="1" xfId="1" applyNumberFormat="1" applyFont="1" applyFill="1" applyBorder="1" applyAlignment="1">
      <alignment horizontal="center" vertical="center"/>
    </xf>
    <xf numFmtId="0" fontId="68" fillId="0" borderId="0" xfId="0" applyFont="1" applyAlignment="1">
      <alignment vertical="center"/>
    </xf>
    <xf numFmtId="0" fontId="68" fillId="0" borderId="0" xfId="0" applyFont="1" applyAlignment="1">
      <alignment vertical="center" wrapText="1"/>
    </xf>
    <xf numFmtId="0" fontId="68" fillId="28" borderId="1" xfId="0" applyFont="1" applyFill="1" applyBorder="1" applyAlignment="1">
      <alignment horizontal="center" vertical="center"/>
    </xf>
    <xf numFmtId="3" fontId="68" fillId="28" borderId="3" xfId="1" applyNumberFormat="1" applyFont="1" applyFill="1" applyBorder="1" applyAlignment="1" applyProtection="1">
      <alignment horizontal="right" vertical="center"/>
      <protection locked="0"/>
    </xf>
    <xf numFmtId="0" fontId="68" fillId="0" borderId="0" xfId="0" applyFont="1" applyAlignment="1" applyProtection="1">
      <alignment vertical="center"/>
      <protection locked="0"/>
    </xf>
    <xf numFmtId="0" fontId="68" fillId="0" borderId="0" xfId="0" applyFont="1" applyAlignment="1" applyProtection="1">
      <alignment vertical="center" wrapText="1"/>
      <protection locked="0"/>
    </xf>
    <xf numFmtId="49" fontId="65" fillId="28" borderId="6" xfId="1" applyNumberFormat="1" applyFont="1" applyFill="1" applyBorder="1" applyAlignment="1">
      <alignment horizontal="center" vertical="center"/>
    </xf>
    <xf numFmtId="3" fontId="65" fillId="2" borderId="1" xfId="6" applyNumberFormat="1" applyFont="1" applyFill="1" applyBorder="1" applyAlignment="1">
      <alignment horizontal="left" vertical="top" wrapText="1"/>
    </xf>
    <xf numFmtId="9" fontId="69" fillId="28" borderId="1" xfId="12" applyFont="1" applyFill="1" applyBorder="1" applyAlignment="1" applyProtection="1">
      <alignment horizontal="center" vertical="center"/>
      <protection locked="0"/>
    </xf>
    <xf numFmtId="49" fontId="68" fillId="0" borderId="1" xfId="1" applyNumberFormat="1" applyFont="1" applyBorder="1" applyAlignment="1">
      <alignment horizontal="center" vertical="center"/>
    </xf>
    <xf numFmtId="49" fontId="65" fillId="33" borderId="1" xfId="1" applyNumberFormat="1" applyFont="1" applyFill="1" applyBorder="1" applyAlignment="1">
      <alignment horizontal="center" vertical="center" wrapText="1"/>
    </xf>
    <xf numFmtId="49" fontId="68" fillId="33" borderId="1" xfId="1" applyNumberFormat="1" applyFont="1" applyFill="1" applyBorder="1" applyAlignment="1">
      <alignment horizontal="center" vertical="center" wrapText="1"/>
    </xf>
    <xf numFmtId="49" fontId="65" fillId="33" borderId="1" xfId="1" applyNumberFormat="1" applyFont="1" applyFill="1" applyBorder="1" applyAlignment="1">
      <alignment horizontal="left" vertical="center" wrapText="1"/>
    </xf>
    <xf numFmtId="49" fontId="65" fillId="0" borderId="1" xfId="1" applyNumberFormat="1" applyFont="1" applyBorder="1" applyAlignment="1">
      <alignment horizontal="center" vertical="center"/>
    </xf>
    <xf numFmtId="3" fontId="79" fillId="28" borderId="1" xfId="1" applyNumberFormat="1" applyFont="1" applyFill="1" applyBorder="1" applyAlignment="1" applyProtection="1">
      <alignment horizontal="center" vertical="center"/>
      <protection locked="0"/>
    </xf>
    <xf numFmtId="9" fontId="79" fillId="28" borderId="1" xfId="12" applyFont="1" applyFill="1" applyBorder="1" applyAlignment="1" applyProtection="1">
      <alignment horizontal="center" vertical="center"/>
      <protection locked="0"/>
    </xf>
    <xf numFmtId="49" fontId="65" fillId="0" borderId="1" xfId="1" applyNumberFormat="1" applyFont="1" applyBorder="1" applyAlignment="1">
      <alignment horizontal="left" vertical="center" wrapText="1"/>
    </xf>
    <xf numFmtId="49" fontId="65" fillId="33" borderId="1" xfId="1" applyNumberFormat="1" applyFont="1" applyFill="1" applyBorder="1" applyAlignment="1">
      <alignment vertical="center" wrapText="1"/>
    </xf>
    <xf numFmtId="0" fontId="68" fillId="32" borderId="1" xfId="1" applyFont="1" applyFill="1" applyBorder="1" applyAlignment="1">
      <alignment horizontal="left" vertical="center"/>
    </xf>
    <xf numFmtId="49" fontId="68" fillId="32" borderId="1" xfId="1" applyNumberFormat="1" applyFont="1" applyFill="1" applyBorder="1" applyAlignment="1">
      <alignment vertical="center"/>
    </xf>
    <xf numFmtId="49" fontId="65" fillId="32" borderId="1" xfId="1" applyNumberFormat="1" applyFont="1" applyFill="1" applyBorder="1" applyAlignment="1">
      <alignment vertical="center"/>
    </xf>
    <xf numFmtId="0" fontId="68" fillId="28" borderId="1" xfId="1" applyFont="1" applyFill="1" applyBorder="1" applyAlignment="1">
      <alignment horizontal="left" vertical="center"/>
    </xf>
    <xf numFmtId="49" fontId="68" fillId="0" borderId="1" xfId="1" applyNumberFormat="1" applyFont="1" applyBorder="1" applyAlignment="1">
      <alignment vertical="center"/>
    </xf>
    <xf numFmtId="49" fontId="65" fillId="28" borderId="1" xfId="1" applyNumberFormat="1" applyFont="1" applyFill="1" applyBorder="1" applyAlignment="1">
      <alignment vertical="center"/>
    </xf>
    <xf numFmtId="49" fontId="68" fillId="28" borderId="1" xfId="1" applyNumberFormat="1" applyFont="1" applyFill="1" applyBorder="1" applyAlignment="1">
      <alignment vertical="center"/>
    </xf>
    <xf numFmtId="49" fontId="68" fillId="0" borderId="4" xfId="1" applyNumberFormat="1" applyFont="1" applyBorder="1" applyAlignment="1">
      <alignment vertical="center"/>
    </xf>
    <xf numFmtId="49" fontId="65" fillId="28" borderId="4" xfId="1" applyNumberFormat="1" applyFont="1" applyFill="1" applyBorder="1" applyAlignment="1">
      <alignment vertical="center"/>
    </xf>
    <xf numFmtId="49" fontId="68" fillId="28" borderId="4" xfId="1" applyNumberFormat="1" applyFont="1" applyFill="1" applyBorder="1" applyAlignment="1">
      <alignment vertical="center"/>
    </xf>
    <xf numFmtId="0" fontId="68" fillId="28" borderId="1" xfId="0" applyFont="1" applyFill="1" applyBorder="1" applyAlignment="1" applyProtection="1">
      <alignment vertical="center"/>
      <protection locked="0"/>
    </xf>
    <xf numFmtId="0" fontId="65" fillId="0" borderId="1" xfId="0" applyFont="1" applyBorder="1" applyAlignment="1" applyProtection="1">
      <alignment vertical="center"/>
      <protection locked="0"/>
    </xf>
    <xf numFmtId="3" fontId="69" fillId="0" borderId="1" xfId="1" applyNumberFormat="1" applyFont="1" applyBorder="1" applyAlignment="1" applyProtection="1">
      <alignment horizontal="center" vertical="center"/>
      <protection locked="0"/>
    </xf>
    <xf numFmtId="3" fontId="69" fillId="28" borderId="1" xfId="1" applyNumberFormat="1" applyFont="1" applyFill="1" applyBorder="1" applyAlignment="1">
      <alignment horizontal="center" vertical="center"/>
    </xf>
    <xf numFmtId="9" fontId="69" fillId="28" borderId="1" xfId="12" applyFont="1" applyFill="1" applyBorder="1" applyAlignment="1" applyProtection="1">
      <alignment horizontal="center" vertical="center"/>
    </xf>
    <xf numFmtId="3" fontId="79" fillId="32" borderId="1" xfId="1" applyNumberFormat="1" applyFont="1" applyFill="1" applyBorder="1" applyAlignment="1" applyProtection="1">
      <alignment horizontal="center" vertical="center"/>
      <protection locked="0"/>
    </xf>
    <xf numFmtId="9" fontId="79" fillId="32" borderId="1" xfId="12" applyFont="1" applyFill="1" applyBorder="1" applyAlignment="1" applyProtection="1">
      <alignment horizontal="center" vertical="center"/>
      <protection locked="0"/>
    </xf>
    <xf numFmtId="49" fontId="68" fillId="32" borderId="4" xfId="1" applyNumberFormat="1" applyFont="1" applyFill="1" applyBorder="1" applyAlignment="1" applyProtection="1">
      <alignment horizontal="center" vertical="center"/>
      <protection locked="0"/>
    </xf>
    <xf numFmtId="49" fontId="65" fillId="32" borderId="4" xfId="1" applyNumberFormat="1" applyFont="1" applyFill="1" applyBorder="1" applyAlignment="1" applyProtection="1">
      <alignment horizontal="center" vertical="center"/>
      <protection locked="0"/>
    </xf>
    <xf numFmtId="0" fontId="68" fillId="31" borderId="1" xfId="1" applyFont="1" applyFill="1" applyBorder="1" applyAlignment="1">
      <alignment horizontal="center" vertical="center"/>
    </xf>
    <xf numFmtId="3" fontId="68" fillId="31" borderId="1" xfId="6" applyNumberFormat="1" applyFont="1" applyFill="1" applyBorder="1" applyAlignment="1">
      <alignment horizontal="left" vertical="center" wrapText="1"/>
    </xf>
    <xf numFmtId="3" fontId="79" fillId="31" borderId="1" xfId="1" applyNumberFormat="1" applyFont="1" applyFill="1" applyBorder="1" applyAlignment="1">
      <alignment horizontal="center" vertical="center"/>
    </xf>
    <xf numFmtId="9" fontId="79" fillId="31" borderId="1" xfId="12" applyFont="1" applyFill="1" applyBorder="1" applyAlignment="1" applyProtection="1">
      <alignment horizontal="center" vertical="center"/>
    </xf>
    <xf numFmtId="49" fontId="68" fillId="0" borderId="26" xfId="1" applyNumberFormat="1" applyFont="1" applyBorder="1" applyAlignment="1">
      <alignment horizontal="left" vertical="center"/>
    </xf>
    <xf numFmtId="49" fontId="65" fillId="31" borderId="26" xfId="1" applyNumberFormat="1" applyFont="1" applyFill="1" applyBorder="1" applyAlignment="1">
      <alignment horizontal="left" vertical="center"/>
    </xf>
    <xf numFmtId="49" fontId="68" fillId="31" borderId="26" xfId="1" applyNumberFormat="1" applyFont="1" applyFill="1" applyBorder="1" applyAlignment="1">
      <alignment horizontal="left" vertical="center"/>
    </xf>
    <xf numFmtId="0" fontId="68" fillId="28" borderId="1" xfId="6" applyFont="1" applyFill="1" applyBorder="1" applyAlignment="1">
      <alignment horizontal="left" vertical="center" wrapText="1"/>
    </xf>
    <xf numFmtId="49" fontId="65" fillId="28" borderId="26" xfId="1" applyNumberFormat="1" applyFont="1" applyFill="1" applyBorder="1" applyAlignment="1">
      <alignment horizontal="left" vertical="center"/>
    </xf>
    <xf numFmtId="49" fontId="68" fillId="28" borderId="26" xfId="1" applyNumberFormat="1" applyFont="1" applyFill="1" applyBorder="1" applyAlignment="1">
      <alignment horizontal="left" vertical="center"/>
    </xf>
    <xf numFmtId="3" fontId="68" fillId="28" borderId="1" xfId="6" applyNumberFormat="1" applyFont="1" applyFill="1" applyBorder="1" applyAlignment="1">
      <alignment horizontal="left" vertical="center"/>
    </xf>
    <xf numFmtId="0" fontId="68" fillId="0" borderId="0" xfId="1" applyFont="1" applyAlignment="1">
      <alignment horizontal="left" vertical="center"/>
    </xf>
    <xf numFmtId="3" fontId="68" fillId="0" borderId="0" xfId="6" applyNumberFormat="1" applyFont="1" applyAlignment="1">
      <alignment horizontal="left" vertical="center"/>
    </xf>
    <xf numFmtId="3" fontId="68" fillId="0" borderId="0" xfId="1" applyNumberFormat="1" applyFont="1" applyAlignment="1">
      <alignment horizontal="right" vertical="center"/>
    </xf>
    <xf numFmtId="3" fontId="79" fillId="0" borderId="0" xfId="1" applyNumberFormat="1" applyFont="1" applyAlignment="1">
      <alignment horizontal="center" vertical="center"/>
    </xf>
    <xf numFmtId="9" fontId="79" fillId="0" borderId="0" xfId="12" applyFont="1" applyFill="1" applyBorder="1" applyAlignment="1" applyProtection="1">
      <alignment horizontal="center" vertical="center"/>
    </xf>
    <xf numFmtId="49" fontId="68" fillId="0" borderId="0" xfId="1" applyNumberFormat="1" applyFont="1" applyAlignment="1">
      <alignment horizontal="left" vertical="center"/>
    </xf>
    <xf numFmtId="49" fontId="65" fillId="0" borderId="0" xfId="1" applyNumberFormat="1" applyFont="1" applyAlignment="1">
      <alignment horizontal="left" vertical="center"/>
    </xf>
    <xf numFmtId="0" fontId="69" fillId="0" borderId="0" xfId="0" applyFont="1" applyAlignment="1" applyProtection="1">
      <alignment horizontal="center" vertical="center"/>
      <protection locked="0"/>
    </xf>
    <xf numFmtId="0" fontId="65" fillId="0" borderId="0" xfId="1467" applyFont="1" applyAlignment="1">
      <alignment horizontal="left" vertical="top" wrapText="1"/>
    </xf>
    <xf numFmtId="49" fontId="65" fillId="33" borderId="27" xfId="1" applyNumberFormat="1" applyFont="1" applyFill="1" applyBorder="1" applyAlignment="1">
      <alignment vertical="center" wrapText="1"/>
    </xf>
    <xf numFmtId="9" fontId="48" fillId="2" borderId="5" xfId="12" applyFont="1" applyFill="1" applyBorder="1" applyAlignment="1" applyProtection="1">
      <alignment horizontal="center" vertical="center"/>
    </xf>
    <xf numFmtId="49" fontId="46" fillId="0" borderId="34" xfId="0" applyNumberFormat="1" applyFont="1" applyBorder="1" applyAlignment="1">
      <alignment horizontal="left" vertical="center"/>
    </xf>
    <xf numFmtId="9" fontId="48" fillId="32" borderId="0" xfId="12" applyFont="1" applyFill="1" applyAlignment="1" applyProtection="1">
      <alignment horizontal="center" vertical="center"/>
    </xf>
    <xf numFmtId="3" fontId="46" fillId="36" borderId="1" xfId="6" applyNumberFormat="1" applyFont="1" applyFill="1" applyBorder="1" applyAlignment="1">
      <alignment horizontal="right" vertical="center" wrapText="1"/>
    </xf>
    <xf numFmtId="9" fontId="48" fillId="0" borderId="5" xfId="12" applyFont="1" applyFill="1" applyBorder="1" applyAlignment="1" applyProtection="1">
      <alignment horizontal="center" vertical="center"/>
      <protection locked="0"/>
    </xf>
    <xf numFmtId="9" fontId="51" fillId="28" borderId="5" xfId="12" applyFont="1" applyFill="1" applyBorder="1" applyAlignment="1" applyProtection="1">
      <alignment horizontal="center" vertical="center" wrapText="1"/>
    </xf>
    <xf numFmtId="49" fontId="47" fillId="33" borderId="4" xfId="6" applyNumberFormat="1" applyFont="1" applyFill="1" applyBorder="1" applyAlignment="1">
      <alignment vertical="center" wrapText="1"/>
    </xf>
    <xf numFmtId="49" fontId="47" fillId="0" borderId="27" xfId="6" applyNumberFormat="1" applyFont="1" applyBorder="1" applyAlignment="1">
      <alignment vertical="center" wrapText="1"/>
    </xf>
    <xf numFmtId="49" fontId="47" fillId="0" borderId="0" xfId="6" applyNumberFormat="1" applyFont="1" applyAlignment="1">
      <alignment vertical="center" wrapText="1"/>
    </xf>
    <xf numFmtId="9" fontId="51" fillId="0" borderId="33" xfId="12" applyFont="1" applyFill="1" applyBorder="1" applyAlignment="1" applyProtection="1">
      <alignment horizontal="center" vertical="center"/>
      <protection locked="0"/>
    </xf>
    <xf numFmtId="9" fontId="51" fillId="0" borderId="27" xfId="12" applyFont="1" applyFill="1" applyBorder="1" applyAlignment="1" applyProtection="1">
      <alignment horizontal="center" vertical="center"/>
      <protection locked="0"/>
    </xf>
    <xf numFmtId="3" fontId="51" fillId="0" borderId="5" xfId="6" applyNumberFormat="1" applyFont="1" applyBorder="1" applyAlignment="1" applyProtection="1">
      <alignment horizontal="center" vertical="center"/>
      <protection locked="0"/>
    </xf>
    <xf numFmtId="49" fontId="47" fillId="28" borderId="27" xfId="6" applyNumberFormat="1" applyFont="1" applyFill="1" applyBorder="1" applyAlignment="1">
      <alignment vertical="center" wrapText="1"/>
    </xf>
    <xf numFmtId="9" fontId="48" fillId="28" borderId="5" xfId="12" applyFont="1" applyFill="1" applyBorder="1" applyAlignment="1" applyProtection="1">
      <alignment horizontal="center" vertical="center" wrapText="1"/>
    </xf>
    <xf numFmtId="0" fontId="34" fillId="0" borderId="0" xfId="0" applyFont="1" applyAlignment="1">
      <alignment wrapText="1"/>
    </xf>
    <xf numFmtId="0" fontId="46" fillId="37" borderId="26" xfId="0" applyFont="1" applyFill="1" applyBorder="1" applyAlignment="1">
      <alignment wrapText="1"/>
    </xf>
    <xf numFmtId="49" fontId="65" fillId="0" borderId="30" xfId="1" applyNumberFormat="1" applyFont="1" applyBorder="1" applyAlignment="1">
      <alignment horizontal="center" vertical="center" wrapText="1"/>
    </xf>
    <xf numFmtId="3" fontId="65" fillId="0" borderId="29" xfId="6" applyNumberFormat="1" applyFont="1" applyBorder="1" applyAlignment="1">
      <alignment vertical="center" wrapText="1"/>
    </xf>
    <xf numFmtId="0" fontId="64" fillId="0" borderId="0" xfId="1" applyFont="1" applyAlignment="1">
      <alignment vertical="center" wrapText="1"/>
    </xf>
    <xf numFmtId="0" fontId="82" fillId="0" borderId="27" xfId="0" applyFont="1" applyBorder="1"/>
    <xf numFmtId="3" fontId="68" fillId="31" borderId="4" xfId="0" applyNumberFormat="1" applyFont="1" applyFill="1" applyBorder="1" applyAlignment="1" applyProtection="1">
      <alignment vertical="center" wrapText="1"/>
      <protection locked="0"/>
    </xf>
    <xf numFmtId="49" fontId="46" fillId="2" borderId="27" xfId="5" applyNumberFormat="1" applyFont="1" applyFill="1" applyBorder="1" applyAlignment="1">
      <alignment horizontal="center" vertical="center" wrapText="1"/>
    </xf>
    <xf numFmtId="3" fontId="46" fillId="2" borderId="27" xfId="6" applyNumberFormat="1" applyFont="1" applyFill="1" applyBorder="1" applyAlignment="1">
      <alignment vertical="center" wrapText="1"/>
    </xf>
    <xf numFmtId="49" fontId="47" fillId="2" borderId="27" xfId="5" applyNumberFormat="1" applyFont="1" applyFill="1" applyBorder="1" applyAlignment="1">
      <alignment horizontal="center" vertical="center" wrapText="1"/>
    </xf>
    <xf numFmtId="49" fontId="47" fillId="0" borderId="4" xfId="5" applyNumberFormat="1" applyFont="1" applyBorder="1" applyAlignment="1">
      <alignment horizontal="center" vertical="center" wrapText="1"/>
    </xf>
    <xf numFmtId="49" fontId="47" fillId="2" borderId="6" xfId="5" applyNumberFormat="1" applyFont="1" applyFill="1" applyBorder="1" applyAlignment="1">
      <alignment horizontal="center" vertical="center" wrapText="1"/>
    </xf>
    <xf numFmtId="0" fontId="73" fillId="34" borderId="27" xfId="0" applyFont="1" applyFill="1" applyBorder="1" applyAlignment="1">
      <alignment wrapText="1"/>
    </xf>
    <xf numFmtId="1" fontId="73" fillId="0" borderId="27" xfId="0" applyNumberFormat="1" applyFont="1" applyBorder="1"/>
    <xf numFmtId="1" fontId="65" fillId="0" borderId="1" xfId="0" applyNumberFormat="1" applyFont="1" applyBorder="1"/>
    <xf numFmtId="3" fontId="65" fillId="0" borderId="4" xfId="0" applyNumberFormat="1" applyFont="1" applyBorder="1" applyAlignment="1" applyProtection="1">
      <alignment vertical="center" wrapText="1"/>
      <protection locked="0"/>
    </xf>
    <xf numFmtId="3" fontId="64" fillId="2" borderId="6" xfId="0" applyNumberFormat="1" applyFont="1" applyFill="1" applyBorder="1" applyAlignment="1" applyProtection="1">
      <alignment vertical="center" wrapText="1"/>
      <protection locked="0"/>
    </xf>
    <xf numFmtId="3" fontId="47" fillId="0" borderId="0" xfId="0" applyNumberFormat="1" applyFont="1" applyAlignment="1">
      <alignment horizontal="left" vertical="top" wrapText="1"/>
    </xf>
    <xf numFmtId="3" fontId="47" fillId="0" borderId="0" xfId="0" applyNumberFormat="1" applyFont="1" applyAlignment="1">
      <alignment horizontal="left" vertical="center" wrapText="1"/>
    </xf>
    <xf numFmtId="3" fontId="47" fillId="0" borderId="0" xfId="0" applyNumberFormat="1" applyFont="1" applyAlignment="1">
      <alignment horizontal="left" vertical="center"/>
    </xf>
    <xf numFmtId="3" fontId="52" fillId="0" borderId="0" xfId="0" applyNumberFormat="1" applyFont="1" applyAlignment="1">
      <alignment horizontal="left" vertical="center"/>
    </xf>
    <xf numFmtId="3" fontId="51" fillId="0" borderId="4" xfId="0" applyNumberFormat="1" applyFont="1" applyBorder="1" applyAlignment="1">
      <alignment horizontal="center" vertical="center" wrapText="1"/>
    </xf>
    <xf numFmtId="3" fontId="51" fillId="0" borderId="7" xfId="0" applyNumberFormat="1" applyFont="1" applyBorder="1" applyAlignment="1">
      <alignment horizontal="center" vertical="center" wrapText="1"/>
    </xf>
    <xf numFmtId="3" fontId="51" fillId="0" borderId="6" xfId="0" applyNumberFormat="1" applyFont="1" applyBorder="1" applyAlignment="1">
      <alignment horizontal="center" vertical="center" wrapText="1"/>
    </xf>
    <xf numFmtId="0" fontId="58" fillId="35" borderId="4" xfId="0" applyFont="1" applyFill="1" applyBorder="1" applyAlignment="1">
      <alignment vertical="center" wrapText="1"/>
    </xf>
    <xf numFmtId="0" fontId="58" fillId="35" borderId="7" xfId="0" applyFont="1" applyFill="1" applyBorder="1" applyAlignment="1">
      <alignment vertical="center" wrapText="1"/>
    </xf>
    <xf numFmtId="0" fontId="58" fillId="35" borderId="28" xfId="0" applyFont="1" applyFill="1" applyBorder="1" applyAlignment="1">
      <alignment vertical="center" wrapText="1"/>
    </xf>
    <xf numFmtId="3" fontId="51" fillId="0" borderId="1" xfId="0" applyNumberFormat="1" applyFont="1" applyBorder="1" applyAlignment="1">
      <alignment horizontal="center" vertical="center" wrapText="1"/>
    </xf>
    <xf numFmtId="3" fontId="58" fillId="33" borderId="4" xfId="0" applyNumberFormat="1" applyFont="1" applyFill="1" applyBorder="1" applyAlignment="1">
      <alignment horizontal="center" vertical="center" wrapText="1"/>
    </xf>
    <xf numFmtId="3" fontId="58" fillId="33" borderId="7" xfId="0" applyNumberFormat="1" applyFont="1" applyFill="1" applyBorder="1" applyAlignment="1">
      <alignment horizontal="center" vertical="center" wrapText="1"/>
    </xf>
    <xf numFmtId="3" fontId="58" fillId="33" borderId="6" xfId="0" applyNumberFormat="1" applyFont="1" applyFill="1" applyBorder="1" applyAlignment="1">
      <alignment horizontal="center" vertical="center" wrapText="1"/>
    </xf>
    <xf numFmtId="3" fontId="51" fillId="2" borderId="4" xfId="0" applyNumberFormat="1" applyFont="1" applyFill="1" applyBorder="1" applyAlignment="1">
      <alignment horizontal="center" vertical="center" wrapText="1"/>
    </xf>
    <xf numFmtId="3" fontId="51" fillId="2" borderId="7" xfId="0" applyNumberFormat="1" applyFont="1" applyFill="1" applyBorder="1" applyAlignment="1">
      <alignment horizontal="center" vertical="center" wrapText="1"/>
    </xf>
    <xf numFmtId="3" fontId="51" fillId="2" borderId="6" xfId="0" applyNumberFormat="1" applyFont="1" applyFill="1" applyBorder="1" applyAlignment="1">
      <alignment horizontal="center" vertical="center" wrapText="1"/>
    </xf>
    <xf numFmtId="3" fontId="48" fillId="33" borderId="4" xfId="0" applyNumberFormat="1" applyFont="1" applyFill="1" applyBorder="1" applyAlignment="1">
      <alignment horizontal="center" vertical="center" wrapText="1"/>
    </xf>
    <xf numFmtId="3" fontId="48" fillId="33" borderId="7" xfId="0" applyNumberFormat="1" applyFont="1" applyFill="1" applyBorder="1" applyAlignment="1">
      <alignment horizontal="center" vertical="center" wrapText="1"/>
    </xf>
    <xf numFmtId="3" fontId="48" fillId="33" borderId="6" xfId="0" applyNumberFormat="1" applyFont="1" applyFill="1" applyBorder="1" applyAlignment="1">
      <alignment horizontal="center" vertical="center" wrapText="1"/>
    </xf>
    <xf numFmtId="3" fontId="66" fillId="33" borderId="4" xfId="0" applyNumberFormat="1" applyFont="1" applyFill="1" applyBorder="1" applyAlignment="1">
      <alignment horizontal="center" vertical="center" wrapText="1"/>
    </xf>
    <xf numFmtId="3" fontId="67" fillId="33" borderId="4" xfId="0" applyNumberFormat="1" applyFont="1" applyFill="1" applyBorder="1" applyAlignment="1">
      <alignment horizontal="center" vertical="center" wrapText="1"/>
    </xf>
    <xf numFmtId="3" fontId="48" fillId="0" borderId="4" xfId="0" applyNumberFormat="1" applyFont="1" applyBorder="1" applyAlignment="1">
      <alignment horizontal="center" vertical="center" wrapText="1"/>
    </xf>
    <xf numFmtId="3" fontId="48" fillId="0" borderId="7" xfId="0" applyNumberFormat="1" applyFont="1" applyBorder="1" applyAlignment="1">
      <alignment horizontal="center" vertical="center" wrapText="1"/>
    </xf>
    <xf numFmtId="3" fontId="48" fillId="0" borderId="6" xfId="0" applyNumberFormat="1" applyFont="1" applyBorder="1" applyAlignment="1">
      <alignment horizontal="center" vertical="center" wrapText="1"/>
    </xf>
    <xf numFmtId="3" fontId="51" fillId="0" borderId="4" xfId="0" applyNumberFormat="1" applyFont="1" applyBorder="1" applyAlignment="1" applyProtection="1">
      <alignment horizontal="center" vertical="center" wrapText="1"/>
      <protection locked="0"/>
    </xf>
    <xf numFmtId="3" fontId="51" fillId="0" borderId="7" xfId="0" applyNumberFormat="1" applyFont="1" applyBorder="1" applyAlignment="1" applyProtection="1">
      <alignment horizontal="center" vertical="center" wrapText="1"/>
      <protection locked="0"/>
    </xf>
    <xf numFmtId="3" fontId="51" fillId="0" borderId="6" xfId="0" applyNumberFormat="1" applyFont="1" applyBorder="1" applyAlignment="1" applyProtection="1">
      <alignment horizontal="center" vertical="center" wrapText="1"/>
      <protection locked="0"/>
    </xf>
    <xf numFmtId="3" fontId="51" fillId="33" borderId="4" xfId="0" applyNumberFormat="1" applyFont="1" applyFill="1" applyBorder="1" applyAlignment="1">
      <alignment horizontal="left" vertical="center" wrapText="1"/>
    </xf>
    <xf numFmtId="3" fontId="51" fillId="33" borderId="7" xfId="0" applyNumberFormat="1" applyFont="1" applyFill="1" applyBorder="1" applyAlignment="1">
      <alignment horizontal="left" vertical="center" wrapText="1"/>
    </xf>
    <xf numFmtId="3" fontId="51" fillId="33" borderId="6" xfId="0" applyNumberFormat="1" applyFont="1" applyFill="1" applyBorder="1" applyAlignment="1">
      <alignment horizontal="left" vertical="center" wrapText="1"/>
    </xf>
    <xf numFmtId="3" fontId="74" fillId="33" borderId="1" xfId="0" applyNumberFormat="1" applyFont="1" applyFill="1" applyBorder="1" applyAlignment="1">
      <alignment horizontal="center" vertical="center" wrapText="1"/>
    </xf>
    <xf numFmtId="3" fontId="48" fillId="33" borderId="1" xfId="0" applyNumberFormat="1" applyFont="1" applyFill="1" applyBorder="1" applyAlignment="1">
      <alignment horizontal="center" vertical="center" wrapText="1"/>
    </xf>
    <xf numFmtId="3" fontId="75" fillId="33" borderId="4" xfId="0" applyNumberFormat="1" applyFont="1" applyFill="1" applyBorder="1" applyAlignment="1">
      <alignment horizontal="left" vertical="center" wrapText="1"/>
    </xf>
    <xf numFmtId="3" fontId="48" fillId="33" borderId="7" xfId="0" applyNumberFormat="1" applyFont="1" applyFill="1" applyBorder="1" applyAlignment="1">
      <alignment horizontal="left" vertical="center" wrapText="1"/>
    </xf>
    <xf numFmtId="3" fontId="48" fillId="33" borderId="6" xfId="0" applyNumberFormat="1" applyFont="1" applyFill="1" applyBorder="1" applyAlignment="1">
      <alignment horizontal="left" vertical="center" wrapText="1"/>
    </xf>
    <xf numFmtId="3" fontId="76" fillId="33" borderId="4" xfId="0" applyNumberFormat="1" applyFont="1" applyFill="1" applyBorder="1" applyAlignment="1">
      <alignment horizontal="left" vertical="center" wrapText="1"/>
    </xf>
    <xf numFmtId="3" fontId="76" fillId="33" borderId="7" xfId="0" applyNumberFormat="1" applyFont="1" applyFill="1" applyBorder="1" applyAlignment="1">
      <alignment horizontal="left" vertical="center" wrapText="1"/>
    </xf>
    <xf numFmtId="3" fontId="76" fillId="33" borderId="6" xfId="0" applyNumberFormat="1" applyFont="1" applyFill="1" applyBorder="1" applyAlignment="1">
      <alignment horizontal="left" vertical="center" wrapText="1"/>
    </xf>
    <xf numFmtId="3" fontId="59" fillId="33" borderId="4" xfId="0" applyNumberFormat="1" applyFont="1" applyFill="1" applyBorder="1" applyAlignment="1">
      <alignment horizontal="left" vertical="center" wrapText="1"/>
    </xf>
    <xf numFmtId="0" fontId="34" fillId="0" borderId="0" xfId="1467" applyFont="1" applyAlignment="1">
      <alignment horizontal="left" vertical="top" wrapText="1"/>
    </xf>
    <xf numFmtId="3" fontId="60" fillId="0" borderId="0" xfId="0" applyNumberFormat="1" applyFont="1" applyAlignment="1">
      <alignment horizontal="left" vertical="center"/>
    </xf>
    <xf numFmtId="0" fontId="34" fillId="0" borderId="0" xfId="1467" applyFont="1" applyAlignment="1">
      <alignment vertical="center" wrapText="1"/>
    </xf>
    <xf numFmtId="49" fontId="64" fillId="35" borderId="1" xfId="1" applyNumberFormat="1" applyFont="1" applyFill="1" applyBorder="1" applyAlignment="1">
      <alignment horizontal="left" vertical="center" wrapText="1"/>
    </xf>
    <xf numFmtId="49" fontId="68" fillId="0" borderId="7" xfId="1" applyNumberFormat="1" applyFont="1" applyBorder="1" applyAlignment="1">
      <alignment horizontal="left" vertical="center"/>
    </xf>
    <xf numFmtId="49" fontId="68" fillId="0" borderId="6" xfId="1" applyNumberFormat="1" applyFont="1" applyBorder="1" applyAlignment="1">
      <alignment horizontal="left" vertical="center"/>
    </xf>
    <xf numFmtId="49" fontId="65" fillId="33" borderId="4" xfId="6" applyNumberFormat="1" applyFont="1" applyFill="1" applyBorder="1" applyAlignment="1">
      <alignment horizontal="left" vertical="center" wrapText="1"/>
    </xf>
    <xf numFmtId="49" fontId="65" fillId="33" borderId="7" xfId="6" applyNumberFormat="1" applyFont="1" applyFill="1" applyBorder="1" applyAlignment="1">
      <alignment horizontal="left" vertical="center" wrapText="1"/>
    </xf>
    <xf numFmtId="49" fontId="65" fillId="32" borderId="7" xfId="6" applyNumberFormat="1" applyFont="1" applyFill="1" applyBorder="1" applyAlignment="1">
      <alignment horizontal="left" vertical="center" wrapText="1"/>
    </xf>
    <xf numFmtId="49" fontId="65" fillId="33" borderId="4" xfId="1" applyNumberFormat="1" applyFont="1" applyFill="1" applyBorder="1" applyAlignment="1">
      <alignment horizontal="center" vertical="center" wrapText="1"/>
    </xf>
    <xf numFmtId="49" fontId="65" fillId="33" borderId="7" xfId="1" applyNumberFormat="1" applyFont="1" applyFill="1" applyBorder="1" applyAlignment="1">
      <alignment horizontal="center" vertical="center" wrapText="1"/>
    </xf>
    <xf numFmtId="49" fontId="65" fillId="33" borderId="6" xfId="1" applyNumberFormat="1" applyFont="1" applyFill="1" applyBorder="1" applyAlignment="1">
      <alignment horizontal="center" vertical="center" wrapText="1"/>
    </xf>
    <xf numFmtId="0" fontId="64" fillId="35" borderId="4" xfId="0" applyFont="1" applyFill="1" applyBorder="1" applyAlignment="1">
      <alignment vertical="center" wrapText="1"/>
    </xf>
    <xf numFmtId="0" fontId="64" fillId="35" borderId="7" xfId="0" applyFont="1" applyFill="1" applyBorder="1" applyAlignment="1">
      <alignment vertical="center" wrapText="1"/>
    </xf>
    <xf numFmtId="0" fontId="64" fillId="35" borderId="28" xfId="0" applyFont="1" applyFill="1" applyBorder="1" applyAlignment="1">
      <alignment vertical="center" wrapText="1"/>
    </xf>
    <xf numFmtId="0" fontId="64" fillId="33" borderId="4" xfId="0" applyFont="1" applyFill="1" applyBorder="1" applyAlignment="1">
      <alignment vertical="center" wrapText="1"/>
    </xf>
    <xf numFmtId="0" fontId="64" fillId="33" borderId="7" xfId="0" applyFont="1" applyFill="1" applyBorder="1" applyAlignment="1">
      <alignment vertical="center" wrapText="1"/>
    </xf>
    <xf numFmtId="0" fontId="64" fillId="33" borderId="28" xfId="0" applyFont="1" applyFill="1" applyBorder="1" applyAlignment="1">
      <alignment vertical="center" wrapText="1"/>
    </xf>
    <xf numFmtId="49" fontId="68" fillId="0" borderId="4" xfId="1" applyNumberFormat="1" applyFont="1" applyBorder="1" applyAlignment="1">
      <alignment horizontal="center" vertical="center"/>
    </xf>
    <xf numFmtId="49" fontId="68" fillId="0" borderId="7" xfId="1" applyNumberFormat="1" applyFont="1" applyBorder="1" applyAlignment="1">
      <alignment horizontal="center" vertical="center"/>
    </xf>
    <xf numFmtId="49" fontId="65" fillId="33" borderId="4" xfId="1" applyNumberFormat="1" applyFont="1" applyFill="1" applyBorder="1" applyAlignment="1">
      <alignment horizontal="left" vertical="center" wrapText="1"/>
    </xf>
    <xf numFmtId="49" fontId="65" fillId="33" borderId="7" xfId="1" applyNumberFormat="1" applyFont="1" applyFill="1" applyBorder="1" applyAlignment="1">
      <alignment horizontal="left" vertical="center" wrapText="1"/>
    </xf>
    <xf numFmtId="0" fontId="64" fillId="0" borderId="4" xfId="0" applyFont="1" applyBorder="1" applyAlignment="1">
      <alignment wrapText="1"/>
    </xf>
    <xf numFmtId="0" fontId="64" fillId="0" borderId="7" xfId="0" applyFont="1" applyBorder="1" applyAlignment="1">
      <alignment wrapText="1"/>
    </xf>
    <xf numFmtId="0" fontId="64" fillId="0" borderId="28" xfId="0" applyFont="1" applyBorder="1" applyAlignment="1">
      <alignment wrapText="1"/>
    </xf>
    <xf numFmtId="49" fontId="65" fillId="0" borderId="4" xfId="1" applyNumberFormat="1" applyFont="1" applyBorder="1" applyAlignment="1">
      <alignment horizontal="center" vertical="center"/>
    </xf>
    <xf numFmtId="49" fontId="65" fillId="0" borderId="7" xfId="1" applyNumberFormat="1" applyFont="1" applyBorder="1" applyAlignment="1">
      <alignment horizontal="center" vertical="center"/>
    </xf>
    <xf numFmtId="49" fontId="65" fillId="0" borderId="6" xfId="1" applyNumberFormat="1" applyFont="1" applyBorder="1" applyAlignment="1">
      <alignment horizontal="center" vertical="center"/>
    </xf>
    <xf numFmtId="49" fontId="68" fillId="0" borderId="6" xfId="1" applyNumberFormat="1" applyFont="1" applyBorder="1" applyAlignment="1">
      <alignment horizontal="center" vertical="center"/>
    </xf>
    <xf numFmtId="49" fontId="65" fillId="33" borderId="6" xfId="1" applyNumberFormat="1" applyFont="1" applyFill="1" applyBorder="1" applyAlignment="1">
      <alignment horizontal="left" vertical="center" wrapText="1"/>
    </xf>
    <xf numFmtId="0" fontId="65" fillId="0" borderId="0" xfId="1467" applyFont="1" applyAlignment="1">
      <alignment horizontal="left" vertical="top" wrapText="1"/>
    </xf>
    <xf numFmtId="3" fontId="81" fillId="0" borderId="0" xfId="0" applyNumberFormat="1" applyFont="1" applyAlignment="1">
      <alignment horizontal="left" vertical="center"/>
    </xf>
    <xf numFmtId="0" fontId="65" fillId="35" borderId="4" xfId="0" applyFont="1" applyFill="1" applyBorder="1" applyAlignment="1">
      <alignment wrapText="1"/>
    </xf>
    <xf numFmtId="0" fontId="65" fillId="35" borderId="7" xfId="0" applyFont="1" applyFill="1" applyBorder="1" applyAlignment="1">
      <alignment wrapText="1"/>
    </xf>
    <xf numFmtId="0" fontId="65" fillId="35" borderId="28" xfId="0" applyFont="1" applyFill="1" applyBorder="1" applyAlignment="1">
      <alignment wrapText="1"/>
    </xf>
    <xf numFmtId="0" fontId="65" fillId="2" borderId="5" xfId="1" applyFont="1" applyFill="1" applyBorder="1" applyAlignment="1" applyProtection="1">
      <alignment horizontal="center" vertical="center"/>
      <protection locked="0"/>
    </xf>
    <xf numFmtId="0" fontId="65" fillId="2" borderId="12" xfId="1" applyFont="1" applyFill="1" applyBorder="1" applyAlignment="1" applyProtection="1">
      <alignment horizontal="center" vertical="center"/>
      <protection locked="0"/>
    </xf>
    <xf numFmtId="0" fontId="64" fillId="35" borderId="4" xfId="0" applyFont="1" applyFill="1" applyBorder="1" applyAlignment="1">
      <alignment horizontal="left" vertical="center" wrapText="1"/>
    </xf>
    <xf numFmtId="0" fontId="64" fillId="35" borderId="7" xfId="0" applyFont="1" applyFill="1" applyBorder="1" applyAlignment="1">
      <alignment horizontal="left" vertical="center" wrapText="1"/>
    </xf>
    <xf numFmtId="0" fontId="64" fillId="35" borderId="28" xfId="0" applyFont="1" applyFill="1" applyBorder="1" applyAlignment="1">
      <alignment horizontal="left" vertical="center" wrapText="1"/>
    </xf>
    <xf numFmtId="0" fontId="64" fillId="35" borderId="4" xfId="0" applyFont="1" applyFill="1" applyBorder="1" applyAlignment="1">
      <alignment wrapText="1"/>
    </xf>
    <xf numFmtId="0" fontId="64" fillId="35" borderId="7" xfId="0" applyFont="1" applyFill="1" applyBorder="1" applyAlignment="1">
      <alignment wrapText="1"/>
    </xf>
    <xf numFmtId="0" fontId="64" fillId="35" borderId="28" xfId="0" applyFont="1" applyFill="1" applyBorder="1" applyAlignment="1">
      <alignment wrapText="1"/>
    </xf>
    <xf numFmtId="49" fontId="65" fillId="0" borderId="4" xfId="1" applyNumberFormat="1" applyFont="1" applyBorder="1" applyAlignment="1">
      <alignment horizontal="center" vertical="center" wrapText="1"/>
    </xf>
    <xf numFmtId="49" fontId="65" fillId="0" borderId="7" xfId="1" applyNumberFormat="1" applyFont="1" applyBorder="1" applyAlignment="1">
      <alignment horizontal="center" vertical="center" wrapText="1"/>
    </xf>
    <xf numFmtId="49" fontId="65" fillId="0" borderId="6" xfId="1" applyNumberFormat="1" applyFont="1" applyBorder="1" applyAlignment="1">
      <alignment horizontal="center" vertical="center" wrapText="1"/>
    </xf>
    <xf numFmtId="49" fontId="68" fillId="33" borderId="7" xfId="1" applyNumberFormat="1" applyFont="1" applyFill="1" applyBorder="1" applyAlignment="1">
      <alignment horizontal="center" vertical="center" wrapText="1"/>
    </xf>
    <xf numFmtId="49" fontId="68" fillId="33" borderId="6" xfId="1" applyNumberFormat="1" applyFont="1" applyFill="1" applyBorder="1" applyAlignment="1">
      <alignment horizontal="center" vertical="center" wrapText="1"/>
    </xf>
    <xf numFmtId="49" fontId="68" fillId="33" borderId="7" xfId="1" applyNumberFormat="1" applyFont="1" applyFill="1" applyBorder="1" applyAlignment="1">
      <alignment horizontal="left" vertical="center" wrapText="1"/>
    </xf>
    <xf numFmtId="49" fontId="68" fillId="33" borderId="6" xfId="1" applyNumberFormat="1" applyFont="1" applyFill="1" applyBorder="1" applyAlignment="1">
      <alignment horizontal="left" vertical="center" wrapText="1"/>
    </xf>
    <xf numFmtId="0" fontId="34" fillId="35" borderId="35" xfId="0" applyFont="1" applyFill="1" applyBorder="1" applyAlignment="1">
      <alignment horizontal="center" wrapText="1"/>
    </xf>
    <xf numFmtId="0" fontId="34" fillId="35" borderId="0" xfId="0" applyFont="1" applyFill="1" applyAlignment="1">
      <alignment horizontal="center" wrapText="1"/>
    </xf>
    <xf numFmtId="0" fontId="47" fillId="0" borderId="0" xfId="1467" applyFont="1" applyAlignment="1">
      <alignment horizontal="left" vertical="top" wrapText="1"/>
    </xf>
    <xf numFmtId="49" fontId="70" fillId="33" borderId="27" xfId="6" applyNumberFormat="1" applyFont="1" applyFill="1" applyBorder="1" applyAlignment="1">
      <alignment horizontal="center" vertical="center" wrapText="1"/>
    </xf>
    <xf numFmtId="49" fontId="46" fillId="33" borderId="27" xfId="6" applyNumberFormat="1" applyFont="1" applyFill="1" applyBorder="1" applyAlignment="1">
      <alignment horizontal="center" vertical="center" wrapText="1"/>
    </xf>
    <xf numFmtId="16" fontId="46" fillId="31" borderId="12" xfId="6" applyNumberFormat="1" applyFont="1" applyFill="1" applyBorder="1" applyAlignment="1">
      <alignment horizontal="left" vertical="center" wrapText="1"/>
    </xf>
    <xf numFmtId="49" fontId="48" fillId="33" borderId="4" xfId="6" applyNumberFormat="1" applyFont="1" applyFill="1" applyBorder="1" applyAlignment="1">
      <alignment horizontal="center" vertical="center" wrapText="1"/>
    </xf>
    <xf numFmtId="49" fontId="48" fillId="33" borderId="7" xfId="6" applyNumberFormat="1" applyFont="1" applyFill="1" applyBorder="1" applyAlignment="1">
      <alignment horizontal="center" vertical="center" wrapText="1"/>
    </xf>
    <xf numFmtId="49" fontId="48" fillId="33" borderId="6" xfId="6" applyNumberFormat="1" applyFont="1" applyFill="1" applyBorder="1" applyAlignment="1">
      <alignment horizontal="center" vertical="center" wrapText="1"/>
    </xf>
    <xf numFmtId="49" fontId="70" fillId="33" borderId="4" xfId="6" applyNumberFormat="1" applyFont="1" applyFill="1" applyBorder="1" applyAlignment="1">
      <alignment horizontal="center" vertical="center" wrapText="1"/>
    </xf>
    <xf numFmtId="49" fontId="46" fillId="33" borderId="7" xfId="6" applyNumberFormat="1" applyFont="1" applyFill="1" applyBorder="1" applyAlignment="1">
      <alignment horizontal="center" vertical="center" wrapText="1"/>
    </xf>
    <xf numFmtId="49" fontId="46" fillId="33" borderId="6" xfId="6" applyNumberFormat="1" applyFont="1" applyFill="1" applyBorder="1" applyAlignment="1">
      <alignment horizontal="center" vertical="center" wrapText="1"/>
    </xf>
    <xf numFmtId="0" fontId="47" fillId="0" borderId="0" xfId="0" applyFont="1" applyAlignment="1">
      <alignment horizontal="left" vertical="center" wrapText="1"/>
    </xf>
    <xf numFmtId="0" fontId="47" fillId="0" borderId="0" xfId="0" applyFont="1" applyAlignment="1">
      <alignment horizontal="left" vertical="top"/>
    </xf>
    <xf numFmtId="49" fontId="47" fillId="33" borderId="4" xfId="6" applyNumberFormat="1" applyFont="1" applyFill="1" applyBorder="1" applyAlignment="1">
      <alignment horizontal="left" vertical="center" wrapText="1"/>
    </xf>
    <xf numFmtId="49" fontId="47" fillId="33" borderId="7" xfId="6" applyNumberFormat="1" applyFont="1" applyFill="1" applyBorder="1" applyAlignment="1">
      <alignment horizontal="left" vertical="center" wrapText="1"/>
    </xf>
    <xf numFmtId="49" fontId="47" fillId="0" borderId="4" xfId="6" applyNumberFormat="1" applyFont="1" applyBorder="1" applyAlignment="1">
      <alignment horizontal="left" vertical="center" wrapText="1"/>
    </xf>
    <xf numFmtId="49" fontId="47" fillId="0" borderId="7" xfId="6" applyNumberFormat="1" applyFont="1" applyBorder="1" applyAlignment="1">
      <alignment horizontal="left" vertical="center" wrapText="1"/>
    </xf>
    <xf numFmtId="49" fontId="34" fillId="0" borderId="4" xfId="6" applyNumberFormat="1" applyFont="1" applyBorder="1" applyAlignment="1">
      <alignment horizontal="left" vertical="center" wrapText="1"/>
    </xf>
    <xf numFmtId="49" fontId="34" fillId="0" borderId="7" xfId="6" applyNumberFormat="1" applyFont="1" applyBorder="1" applyAlignment="1">
      <alignment horizontal="left" vertical="center" wrapText="1"/>
    </xf>
    <xf numFmtId="49" fontId="34" fillId="0" borderId="6" xfId="6" applyNumberFormat="1" applyFont="1" applyBorder="1" applyAlignment="1">
      <alignment horizontal="left" vertical="center" wrapText="1"/>
    </xf>
    <xf numFmtId="49" fontId="47" fillId="0" borderId="0" xfId="1" applyNumberFormat="1" applyFont="1" applyAlignment="1">
      <alignment horizontal="left" vertical="center" wrapText="1"/>
    </xf>
  </cellXfs>
  <cellStyles count="1468">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2" xfId="924" xr:uid="{00000000-0005-0000-0000-00008F030000}"/>
    <cellStyle name="Comma 2 2" xfId="925" xr:uid="{00000000-0005-0000-0000-000090030000}"/>
    <cellStyle name="Comma 2 3" xfId="926" xr:uid="{00000000-0005-0000-0000-000091030000}"/>
    <cellStyle name="Comma 2 4" xfId="927" xr:uid="{00000000-0005-0000-0000-000092030000}"/>
    <cellStyle name="Comma 2 4 2" xfId="928" xr:uid="{00000000-0005-0000-0000-000093030000}"/>
    <cellStyle name="Comma 2 5" xfId="929" xr:uid="{00000000-0005-0000-0000-000094030000}"/>
    <cellStyle name="Comma 2 5 2" xfId="930" xr:uid="{00000000-0005-0000-0000-000095030000}"/>
    <cellStyle name="Comma 2 6" xfId="931" xr:uid="{00000000-0005-0000-0000-000096030000}"/>
    <cellStyle name="Comma 2 7" xfId="932" xr:uid="{00000000-0005-0000-0000-000097030000}"/>
    <cellStyle name="Comma 3" xfId="933" xr:uid="{00000000-0005-0000-0000-000098030000}"/>
    <cellStyle name="Comma 3 2" xfId="934" xr:uid="{00000000-0005-0000-0000-000099030000}"/>
    <cellStyle name="Comma 4" xfId="9" xr:uid="{00000000-0005-0000-0000-00009A030000}"/>
    <cellStyle name="Comma 4 2" xfId="936" xr:uid="{00000000-0005-0000-0000-00009B030000}"/>
    <cellStyle name="Comma 4 3" xfId="935" xr:uid="{00000000-0005-0000-0000-00009C030000}"/>
    <cellStyle name="Comma 5" xfId="1465" xr:uid="{00000000-0005-0000-0000-00009D030000}"/>
    <cellStyle name="Comma 6" xfId="1459" xr:uid="{00000000-0005-0000-0000-00009E030000}"/>
    <cellStyle name="Currency 2" xfId="1464" xr:uid="{00000000-0005-0000-0000-00009F030000}"/>
    <cellStyle name="Currency 3" xfId="1463" xr:uid="{00000000-0005-0000-0000-0000A0030000}"/>
    <cellStyle name="Currency 4" xfId="1460" xr:uid="{00000000-0005-0000-0000-0000A1030000}"/>
    <cellStyle name="Explanatory Text 10" xfId="937" xr:uid="{00000000-0005-0000-0000-0000A2030000}"/>
    <cellStyle name="Explanatory Text 11" xfId="938" xr:uid="{00000000-0005-0000-0000-0000A3030000}"/>
    <cellStyle name="Explanatory Text 12" xfId="939" xr:uid="{00000000-0005-0000-0000-0000A4030000}"/>
    <cellStyle name="Explanatory Text 13" xfId="940" xr:uid="{00000000-0005-0000-0000-0000A5030000}"/>
    <cellStyle name="Explanatory Text 14" xfId="941" xr:uid="{00000000-0005-0000-0000-0000A6030000}"/>
    <cellStyle name="Explanatory Text 15" xfId="942" xr:uid="{00000000-0005-0000-0000-0000A7030000}"/>
    <cellStyle name="Explanatory Text 16" xfId="943" xr:uid="{00000000-0005-0000-0000-0000A8030000}"/>
    <cellStyle name="Explanatory Text 2" xfId="944" xr:uid="{00000000-0005-0000-0000-0000A9030000}"/>
    <cellStyle name="Explanatory Text 3" xfId="945" xr:uid="{00000000-0005-0000-0000-0000AA030000}"/>
    <cellStyle name="Explanatory Text 4" xfId="946" xr:uid="{00000000-0005-0000-0000-0000AB030000}"/>
    <cellStyle name="Explanatory Text 5" xfId="947" xr:uid="{00000000-0005-0000-0000-0000AC030000}"/>
    <cellStyle name="Explanatory Text 6" xfId="948" xr:uid="{00000000-0005-0000-0000-0000AD030000}"/>
    <cellStyle name="Explanatory Text 7" xfId="949" xr:uid="{00000000-0005-0000-0000-0000AE030000}"/>
    <cellStyle name="Explanatory Text 8" xfId="950" xr:uid="{00000000-0005-0000-0000-0000AF030000}"/>
    <cellStyle name="Explanatory Text 9" xfId="951" xr:uid="{00000000-0005-0000-0000-0000B0030000}"/>
    <cellStyle name="Good 10" xfId="952" xr:uid="{00000000-0005-0000-0000-0000B1030000}"/>
    <cellStyle name="Good 11" xfId="953" xr:uid="{00000000-0005-0000-0000-0000B2030000}"/>
    <cellStyle name="Good 12" xfId="954" xr:uid="{00000000-0005-0000-0000-0000B3030000}"/>
    <cellStyle name="Good 13" xfId="955" xr:uid="{00000000-0005-0000-0000-0000B4030000}"/>
    <cellStyle name="Good 14" xfId="956" xr:uid="{00000000-0005-0000-0000-0000B5030000}"/>
    <cellStyle name="Good 15" xfId="957" xr:uid="{00000000-0005-0000-0000-0000B6030000}"/>
    <cellStyle name="Good 16" xfId="958" xr:uid="{00000000-0005-0000-0000-0000B7030000}"/>
    <cellStyle name="Good 2" xfId="959" xr:uid="{00000000-0005-0000-0000-0000B8030000}"/>
    <cellStyle name="Good 3" xfId="960" xr:uid="{00000000-0005-0000-0000-0000B9030000}"/>
    <cellStyle name="Good 4" xfId="961" xr:uid="{00000000-0005-0000-0000-0000BA030000}"/>
    <cellStyle name="Good 5" xfId="962" xr:uid="{00000000-0005-0000-0000-0000BB030000}"/>
    <cellStyle name="Good 6" xfId="963" xr:uid="{00000000-0005-0000-0000-0000BC030000}"/>
    <cellStyle name="Good 7" xfId="964" xr:uid="{00000000-0005-0000-0000-0000BD030000}"/>
    <cellStyle name="Good 8" xfId="965" xr:uid="{00000000-0005-0000-0000-0000BE030000}"/>
    <cellStyle name="Good 9" xfId="966" xr:uid="{00000000-0005-0000-0000-0000BF030000}"/>
    <cellStyle name="Heading 1 10" xfId="967" xr:uid="{00000000-0005-0000-0000-0000C0030000}"/>
    <cellStyle name="Heading 1 11" xfId="968" xr:uid="{00000000-0005-0000-0000-0000C1030000}"/>
    <cellStyle name="Heading 1 12" xfId="969" xr:uid="{00000000-0005-0000-0000-0000C2030000}"/>
    <cellStyle name="Heading 1 13" xfId="970" xr:uid="{00000000-0005-0000-0000-0000C3030000}"/>
    <cellStyle name="Heading 1 14" xfId="971" xr:uid="{00000000-0005-0000-0000-0000C4030000}"/>
    <cellStyle name="Heading 1 15" xfId="972" xr:uid="{00000000-0005-0000-0000-0000C5030000}"/>
    <cellStyle name="Heading 1 16" xfId="973" xr:uid="{00000000-0005-0000-0000-0000C6030000}"/>
    <cellStyle name="Heading 1 2" xfId="974" xr:uid="{00000000-0005-0000-0000-0000C7030000}"/>
    <cellStyle name="Heading 1 3" xfId="975" xr:uid="{00000000-0005-0000-0000-0000C8030000}"/>
    <cellStyle name="Heading 1 4" xfId="976" xr:uid="{00000000-0005-0000-0000-0000C9030000}"/>
    <cellStyle name="Heading 1 5" xfId="977" xr:uid="{00000000-0005-0000-0000-0000CA030000}"/>
    <cellStyle name="Heading 1 6" xfId="978" xr:uid="{00000000-0005-0000-0000-0000CB030000}"/>
    <cellStyle name="Heading 1 7" xfId="979" xr:uid="{00000000-0005-0000-0000-0000CC030000}"/>
    <cellStyle name="Heading 1 8" xfId="980" xr:uid="{00000000-0005-0000-0000-0000CD030000}"/>
    <cellStyle name="Heading 1 9" xfId="981" xr:uid="{00000000-0005-0000-0000-0000CE030000}"/>
    <cellStyle name="Heading 2 10" xfId="982" xr:uid="{00000000-0005-0000-0000-0000CF030000}"/>
    <cellStyle name="Heading 2 11" xfId="983" xr:uid="{00000000-0005-0000-0000-0000D0030000}"/>
    <cellStyle name="Heading 2 12" xfId="984" xr:uid="{00000000-0005-0000-0000-0000D1030000}"/>
    <cellStyle name="Heading 2 13" xfId="985" xr:uid="{00000000-0005-0000-0000-0000D2030000}"/>
    <cellStyle name="Heading 2 14" xfId="986" xr:uid="{00000000-0005-0000-0000-0000D3030000}"/>
    <cellStyle name="Heading 2 15" xfId="987" xr:uid="{00000000-0005-0000-0000-0000D4030000}"/>
    <cellStyle name="Heading 2 16" xfId="988" xr:uid="{00000000-0005-0000-0000-0000D5030000}"/>
    <cellStyle name="Heading 2 2" xfId="989" xr:uid="{00000000-0005-0000-0000-0000D6030000}"/>
    <cellStyle name="Heading 2 3" xfId="990" xr:uid="{00000000-0005-0000-0000-0000D7030000}"/>
    <cellStyle name="Heading 2 4" xfId="991" xr:uid="{00000000-0005-0000-0000-0000D8030000}"/>
    <cellStyle name="Heading 2 5" xfId="992" xr:uid="{00000000-0005-0000-0000-0000D9030000}"/>
    <cellStyle name="Heading 2 6" xfId="993" xr:uid="{00000000-0005-0000-0000-0000DA030000}"/>
    <cellStyle name="Heading 2 7" xfId="994" xr:uid="{00000000-0005-0000-0000-0000DB030000}"/>
    <cellStyle name="Heading 2 8" xfId="995" xr:uid="{00000000-0005-0000-0000-0000DC030000}"/>
    <cellStyle name="Heading 2 9" xfId="996" xr:uid="{00000000-0005-0000-0000-0000DD030000}"/>
    <cellStyle name="Heading 3 10" xfId="997" xr:uid="{00000000-0005-0000-0000-0000DE030000}"/>
    <cellStyle name="Heading 3 11" xfId="998" xr:uid="{00000000-0005-0000-0000-0000DF030000}"/>
    <cellStyle name="Heading 3 12" xfId="999" xr:uid="{00000000-0005-0000-0000-0000E0030000}"/>
    <cellStyle name="Heading 3 13" xfId="1000" xr:uid="{00000000-0005-0000-0000-0000E1030000}"/>
    <cellStyle name="Heading 3 14" xfId="1001" xr:uid="{00000000-0005-0000-0000-0000E2030000}"/>
    <cellStyle name="Heading 3 15" xfId="1002" xr:uid="{00000000-0005-0000-0000-0000E3030000}"/>
    <cellStyle name="Heading 3 16" xfId="1003" xr:uid="{00000000-0005-0000-0000-0000E4030000}"/>
    <cellStyle name="Heading 3 2" xfId="1004" xr:uid="{00000000-0005-0000-0000-0000E5030000}"/>
    <cellStyle name="Heading 3 3" xfId="1005" xr:uid="{00000000-0005-0000-0000-0000E6030000}"/>
    <cellStyle name="Heading 3 4" xfId="1006" xr:uid="{00000000-0005-0000-0000-0000E7030000}"/>
    <cellStyle name="Heading 3 5" xfId="1007" xr:uid="{00000000-0005-0000-0000-0000E8030000}"/>
    <cellStyle name="Heading 3 6" xfId="1008" xr:uid="{00000000-0005-0000-0000-0000E9030000}"/>
    <cellStyle name="Heading 3 7" xfId="1009" xr:uid="{00000000-0005-0000-0000-0000EA030000}"/>
    <cellStyle name="Heading 3 8" xfId="1010" xr:uid="{00000000-0005-0000-0000-0000EB030000}"/>
    <cellStyle name="Heading 3 9" xfId="1011" xr:uid="{00000000-0005-0000-0000-0000EC030000}"/>
    <cellStyle name="Heading 4 10" xfId="1012" xr:uid="{00000000-0005-0000-0000-0000ED030000}"/>
    <cellStyle name="Heading 4 11" xfId="1013" xr:uid="{00000000-0005-0000-0000-0000EE030000}"/>
    <cellStyle name="Heading 4 12" xfId="1014" xr:uid="{00000000-0005-0000-0000-0000EF030000}"/>
    <cellStyle name="Heading 4 13" xfId="1015" xr:uid="{00000000-0005-0000-0000-0000F0030000}"/>
    <cellStyle name="Heading 4 14" xfId="1016" xr:uid="{00000000-0005-0000-0000-0000F1030000}"/>
    <cellStyle name="Heading 4 15" xfId="1017" xr:uid="{00000000-0005-0000-0000-0000F2030000}"/>
    <cellStyle name="Heading 4 16" xfId="1018" xr:uid="{00000000-0005-0000-0000-0000F3030000}"/>
    <cellStyle name="Heading 4 2" xfId="1019" xr:uid="{00000000-0005-0000-0000-0000F4030000}"/>
    <cellStyle name="Heading 4 3" xfId="1020" xr:uid="{00000000-0005-0000-0000-0000F5030000}"/>
    <cellStyle name="Heading 4 4" xfId="1021" xr:uid="{00000000-0005-0000-0000-0000F6030000}"/>
    <cellStyle name="Heading 4 5" xfId="1022" xr:uid="{00000000-0005-0000-0000-0000F7030000}"/>
    <cellStyle name="Heading 4 6" xfId="1023" xr:uid="{00000000-0005-0000-0000-0000F8030000}"/>
    <cellStyle name="Heading 4 7" xfId="1024" xr:uid="{00000000-0005-0000-0000-0000F9030000}"/>
    <cellStyle name="Heading 4 8" xfId="1025" xr:uid="{00000000-0005-0000-0000-0000FA030000}"/>
    <cellStyle name="Heading 4 9" xfId="1026" xr:uid="{00000000-0005-0000-0000-0000FB030000}"/>
    <cellStyle name="Hyperlink 2" xfId="1027" xr:uid="{00000000-0005-0000-0000-0000FC030000}"/>
    <cellStyle name="Hyperlink 3" xfId="1028" xr:uid="{00000000-0005-0000-0000-0000FD030000}"/>
    <cellStyle name="Input 10" xfId="1029" xr:uid="{00000000-0005-0000-0000-0000FE030000}"/>
    <cellStyle name="Input 11" xfId="1030" xr:uid="{00000000-0005-0000-0000-0000FF030000}"/>
    <cellStyle name="Input 12" xfId="1031" xr:uid="{00000000-0005-0000-0000-000000040000}"/>
    <cellStyle name="Input 13" xfId="1032" xr:uid="{00000000-0005-0000-0000-000001040000}"/>
    <cellStyle name="Input 14" xfId="1033" xr:uid="{00000000-0005-0000-0000-000002040000}"/>
    <cellStyle name="Input 15" xfId="1034" xr:uid="{00000000-0005-0000-0000-000003040000}"/>
    <cellStyle name="Input 16" xfId="1035" xr:uid="{00000000-0005-0000-0000-000004040000}"/>
    <cellStyle name="Input 2" xfId="1036" xr:uid="{00000000-0005-0000-0000-000005040000}"/>
    <cellStyle name="Input 3" xfId="1037" xr:uid="{00000000-0005-0000-0000-000006040000}"/>
    <cellStyle name="Input 4" xfId="1038" xr:uid="{00000000-0005-0000-0000-000007040000}"/>
    <cellStyle name="Input 5" xfId="1039" xr:uid="{00000000-0005-0000-0000-000008040000}"/>
    <cellStyle name="Input 6" xfId="1040" xr:uid="{00000000-0005-0000-0000-000009040000}"/>
    <cellStyle name="Input 7" xfId="1041" xr:uid="{00000000-0005-0000-0000-00000A040000}"/>
    <cellStyle name="Input 8" xfId="1042" xr:uid="{00000000-0005-0000-0000-00000B040000}"/>
    <cellStyle name="Input 9" xfId="1043" xr:uid="{00000000-0005-0000-0000-00000C040000}"/>
    <cellStyle name="Linked Cell 10" xfId="1044" xr:uid="{00000000-0005-0000-0000-00000D040000}"/>
    <cellStyle name="Linked Cell 11" xfId="1045" xr:uid="{00000000-0005-0000-0000-00000E040000}"/>
    <cellStyle name="Linked Cell 12" xfId="1046" xr:uid="{00000000-0005-0000-0000-00000F040000}"/>
    <cellStyle name="Linked Cell 13" xfId="1047" xr:uid="{00000000-0005-0000-0000-000010040000}"/>
    <cellStyle name="Linked Cell 14" xfId="1048" xr:uid="{00000000-0005-0000-0000-000011040000}"/>
    <cellStyle name="Linked Cell 15" xfId="1049" xr:uid="{00000000-0005-0000-0000-000012040000}"/>
    <cellStyle name="Linked Cell 16" xfId="1050" xr:uid="{00000000-0005-0000-0000-000013040000}"/>
    <cellStyle name="Linked Cell 2" xfId="1051" xr:uid="{00000000-0005-0000-0000-000014040000}"/>
    <cellStyle name="Linked Cell 3" xfId="1052" xr:uid="{00000000-0005-0000-0000-000015040000}"/>
    <cellStyle name="Linked Cell 4" xfId="1053" xr:uid="{00000000-0005-0000-0000-000016040000}"/>
    <cellStyle name="Linked Cell 5" xfId="1054" xr:uid="{00000000-0005-0000-0000-000017040000}"/>
    <cellStyle name="Linked Cell 6" xfId="1055" xr:uid="{00000000-0005-0000-0000-000018040000}"/>
    <cellStyle name="Linked Cell 7" xfId="1056" xr:uid="{00000000-0005-0000-0000-000019040000}"/>
    <cellStyle name="Linked Cell 8" xfId="1057" xr:uid="{00000000-0005-0000-0000-00001A040000}"/>
    <cellStyle name="Linked Cell 9" xfId="1058" xr:uid="{00000000-0005-0000-0000-00001B040000}"/>
    <cellStyle name="Neutral 10" xfId="1059" xr:uid="{00000000-0005-0000-0000-00001C040000}"/>
    <cellStyle name="Neutral 11" xfId="1060" xr:uid="{00000000-0005-0000-0000-00001D040000}"/>
    <cellStyle name="Neutral 12" xfId="1061" xr:uid="{00000000-0005-0000-0000-00001E040000}"/>
    <cellStyle name="Neutral 13" xfId="1062" xr:uid="{00000000-0005-0000-0000-00001F040000}"/>
    <cellStyle name="Neutral 14" xfId="1063" xr:uid="{00000000-0005-0000-0000-000020040000}"/>
    <cellStyle name="Neutral 15" xfId="1064" xr:uid="{00000000-0005-0000-0000-000021040000}"/>
    <cellStyle name="Neutral 16" xfId="1065" xr:uid="{00000000-0005-0000-0000-000022040000}"/>
    <cellStyle name="Neutral 2" xfId="1066" xr:uid="{00000000-0005-0000-0000-000023040000}"/>
    <cellStyle name="Neutral 3" xfId="1067" xr:uid="{00000000-0005-0000-0000-000024040000}"/>
    <cellStyle name="Neutral 4" xfId="1068" xr:uid="{00000000-0005-0000-0000-000025040000}"/>
    <cellStyle name="Neutral 5" xfId="1069" xr:uid="{00000000-0005-0000-0000-000026040000}"/>
    <cellStyle name="Neutral 6" xfId="1070" xr:uid="{00000000-0005-0000-0000-000027040000}"/>
    <cellStyle name="Neutral 7" xfId="1071" xr:uid="{00000000-0005-0000-0000-000028040000}"/>
    <cellStyle name="Neutral 8" xfId="1072" xr:uid="{00000000-0005-0000-0000-000029040000}"/>
    <cellStyle name="Neutral 9" xfId="1073" xr:uid="{00000000-0005-0000-0000-00002A040000}"/>
    <cellStyle name="Normal 10" xfId="1074" xr:uid="{00000000-0005-0000-0000-00002B040000}"/>
    <cellStyle name="Normal 10 2" xfId="1" xr:uid="{00000000-0005-0000-0000-00002C040000}"/>
    <cellStyle name="Normal 10 2 2" xfId="1075" xr:uid="{00000000-0005-0000-0000-00002D040000}"/>
    <cellStyle name="Normal 10 3" xfId="1076" xr:uid="{00000000-0005-0000-0000-00002E040000}"/>
    <cellStyle name="Normal 10 4" xfId="1077" xr:uid="{00000000-0005-0000-0000-00002F040000}"/>
    <cellStyle name="Normal 10 5" xfId="1078" xr:uid="{00000000-0005-0000-0000-000030040000}"/>
    <cellStyle name="Normal 10 5 2" xfId="1079" xr:uid="{00000000-0005-0000-0000-000031040000}"/>
    <cellStyle name="Normal 10 5 2 2" xfId="1080" xr:uid="{00000000-0005-0000-0000-000032040000}"/>
    <cellStyle name="Normal 10 5 3" xfId="1081" xr:uid="{00000000-0005-0000-0000-000033040000}"/>
    <cellStyle name="Normal 10 6" xfId="1082" xr:uid="{00000000-0005-0000-0000-000034040000}"/>
    <cellStyle name="Normal 10 6 2" xfId="1083" xr:uid="{00000000-0005-0000-0000-000035040000}"/>
    <cellStyle name="Normal 10 7" xfId="1084" xr:uid="{00000000-0005-0000-0000-000036040000}"/>
    <cellStyle name="Normal 11" xfId="1085" xr:uid="{00000000-0005-0000-0000-000037040000}"/>
    <cellStyle name="Normal 12" xfId="1086" xr:uid="{00000000-0005-0000-0000-000038040000}"/>
    <cellStyle name="Normal 12 2" xfId="1087" xr:uid="{00000000-0005-0000-0000-000039040000}"/>
    <cellStyle name="Normal 12 2 2" xfId="1088" xr:uid="{00000000-0005-0000-0000-00003A040000}"/>
    <cellStyle name="Normal 13" xfId="2" xr:uid="{00000000-0005-0000-0000-00003B040000}"/>
    <cellStyle name="Normal 14" xfId="1089" xr:uid="{00000000-0005-0000-0000-00003C040000}"/>
    <cellStyle name="Normal 14 2" xfId="1090" xr:uid="{00000000-0005-0000-0000-00003D040000}"/>
    <cellStyle name="Normal 15" xfId="1091" xr:uid="{00000000-0005-0000-0000-00003E040000}"/>
    <cellStyle name="Normal 16" xfId="1092" xr:uid="{00000000-0005-0000-0000-00003F040000}"/>
    <cellStyle name="Normal 17" xfId="1093" xr:uid="{00000000-0005-0000-0000-000040040000}"/>
    <cellStyle name="Normal 18" xfId="1094" xr:uid="{00000000-0005-0000-0000-000041040000}"/>
    <cellStyle name="Normal 19" xfId="1095" xr:uid="{00000000-0005-0000-0000-000042040000}"/>
    <cellStyle name="Normal 2" xfId="1096" xr:uid="{00000000-0005-0000-0000-000043040000}"/>
    <cellStyle name="Normal 2 10" xfId="4" xr:uid="{00000000-0005-0000-0000-000044040000}"/>
    <cellStyle name="Normal 2 10 2" xfId="1098" xr:uid="{00000000-0005-0000-0000-000045040000}"/>
    <cellStyle name="Normal 2 10 3" xfId="1099" xr:uid="{00000000-0005-0000-0000-000046040000}"/>
    <cellStyle name="Normal 2 10 4" xfId="1100" xr:uid="{00000000-0005-0000-0000-000047040000}"/>
    <cellStyle name="Normal 2 10 5" xfId="1097" xr:uid="{00000000-0005-0000-0000-000048040000}"/>
    <cellStyle name="Normal 2 10 9" xfId="3" xr:uid="{00000000-0005-0000-0000-000049040000}"/>
    <cellStyle name="Normal 2 10 9 2" xfId="1102" xr:uid="{00000000-0005-0000-0000-00004A040000}"/>
    <cellStyle name="Normal 2 10 9 3" xfId="1101" xr:uid="{00000000-0005-0000-0000-00004B040000}"/>
    <cellStyle name="Normal 2 11" xfId="1103" xr:uid="{00000000-0005-0000-0000-00004C040000}"/>
    <cellStyle name="Normal 2 11 2" xfId="1104" xr:uid="{00000000-0005-0000-0000-00004D040000}"/>
    <cellStyle name="Normal 2 12" xfId="1105" xr:uid="{00000000-0005-0000-0000-00004E040000}"/>
    <cellStyle name="Normal 2 13" xfId="1106" xr:uid="{00000000-0005-0000-0000-00004F040000}"/>
    <cellStyle name="Normal 2 13 10" xfId="1107" xr:uid="{00000000-0005-0000-0000-000050040000}"/>
    <cellStyle name="Normal 2 13 11" xfId="1108" xr:uid="{00000000-0005-0000-0000-000051040000}"/>
    <cellStyle name="Normal 2 13 12" xfId="1109" xr:uid="{00000000-0005-0000-0000-000052040000}"/>
    <cellStyle name="Normal 2 13 13" xfId="1110" xr:uid="{00000000-0005-0000-0000-000053040000}"/>
    <cellStyle name="Normal 2 13 2" xfId="1111" xr:uid="{00000000-0005-0000-0000-000054040000}"/>
    <cellStyle name="Normal 2 13 2 10" xfId="1112" xr:uid="{00000000-0005-0000-0000-000055040000}"/>
    <cellStyle name="Normal 2 13 2 11" xfId="1113" xr:uid="{00000000-0005-0000-0000-000056040000}"/>
    <cellStyle name="Normal 2 13 2 12" xfId="1114" xr:uid="{00000000-0005-0000-0000-000057040000}"/>
    <cellStyle name="Normal 2 13 2 13" xfId="1115" xr:uid="{00000000-0005-0000-0000-000058040000}"/>
    <cellStyle name="Normal 2 13 2 2" xfId="1116" xr:uid="{00000000-0005-0000-0000-000059040000}"/>
    <cellStyle name="Normal 2 13 2 3" xfId="1117" xr:uid="{00000000-0005-0000-0000-00005A040000}"/>
    <cellStyle name="Normal 2 13 2 4" xfId="1118" xr:uid="{00000000-0005-0000-0000-00005B040000}"/>
    <cellStyle name="Normal 2 13 2 5" xfId="1119" xr:uid="{00000000-0005-0000-0000-00005C040000}"/>
    <cellStyle name="Normal 2 13 2 6" xfId="1120" xr:uid="{00000000-0005-0000-0000-00005D040000}"/>
    <cellStyle name="Normal 2 13 2 7" xfId="1121" xr:uid="{00000000-0005-0000-0000-00005E040000}"/>
    <cellStyle name="Normal 2 13 2 8" xfId="1122" xr:uid="{00000000-0005-0000-0000-00005F040000}"/>
    <cellStyle name="Normal 2 13 2 9" xfId="1123" xr:uid="{00000000-0005-0000-0000-000060040000}"/>
    <cellStyle name="Normal 2 13 3" xfId="1124" xr:uid="{00000000-0005-0000-0000-000061040000}"/>
    <cellStyle name="Normal 2 13 4" xfId="1125" xr:uid="{00000000-0005-0000-0000-000062040000}"/>
    <cellStyle name="Normal 2 13 5" xfId="1126" xr:uid="{00000000-0005-0000-0000-000063040000}"/>
    <cellStyle name="Normal 2 13 6" xfId="1127" xr:uid="{00000000-0005-0000-0000-000064040000}"/>
    <cellStyle name="Normal 2 13 7" xfId="1128" xr:uid="{00000000-0005-0000-0000-000065040000}"/>
    <cellStyle name="Normal 2 13 8" xfId="1129" xr:uid="{00000000-0005-0000-0000-000066040000}"/>
    <cellStyle name="Normal 2 13 9" xfId="1130" xr:uid="{00000000-0005-0000-0000-000067040000}"/>
    <cellStyle name="Normal 2 14" xfId="1131" xr:uid="{00000000-0005-0000-0000-000068040000}"/>
    <cellStyle name="Normal 2 15" xfId="1132" xr:uid="{00000000-0005-0000-0000-000069040000}"/>
    <cellStyle name="Normal 2 16" xfId="1133" xr:uid="{00000000-0005-0000-0000-00006A040000}"/>
    <cellStyle name="Normal 2 17" xfId="1134" xr:uid="{00000000-0005-0000-0000-00006B040000}"/>
    <cellStyle name="Normal 2 18" xfId="1135" xr:uid="{00000000-0005-0000-0000-00006C040000}"/>
    <cellStyle name="Normal 2 19" xfId="1136" xr:uid="{00000000-0005-0000-0000-00006D040000}"/>
    <cellStyle name="Normal 2 2" xfId="1137" xr:uid="{00000000-0005-0000-0000-00006E040000}"/>
    <cellStyle name="Normal 2 2 10" xfId="1138" xr:uid="{00000000-0005-0000-0000-00006F040000}"/>
    <cellStyle name="Normal 2 2 10 2" xfId="1139" xr:uid="{00000000-0005-0000-0000-000070040000}"/>
    <cellStyle name="Normal 2 2 11" xfId="1140" xr:uid="{00000000-0005-0000-0000-000071040000}"/>
    <cellStyle name="Normal 2 2 11 2" xfId="1141" xr:uid="{00000000-0005-0000-0000-000072040000}"/>
    <cellStyle name="Normal 2 2 12" xfId="1142" xr:uid="{00000000-0005-0000-0000-000073040000}"/>
    <cellStyle name="Normal 2 2 12 2" xfId="1143" xr:uid="{00000000-0005-0000-0000-000074040000}"/>
    <cellStyle name="Normal 2 2 13" xfId="1144" xr:uid="{00000000-0005-0000-0000-000075040000}"/>
    <cellStyle name="Normal 2 2 13 2" xfId="1145" xr:uid="{00000000-0005-0000-0000-000076040000}"/>
    <cellStyle name="Normal 2 2 14" xfId="1146" xr:uid="{00000000-0005-0000-0000-000077040000}"/>
    <cellStyle name="Normal 2 2 14 2" xfId="1147" xr:uid="{00000000-0005-0000-0000-000078040000}"/>
    <cellStyle name="Normal 2 2 15" xfId="1148" xr:uid="{00000000-0005-0000-0000-000079040000}"/>
    <cellStyle name="Normal 2 2 15 2" xfId="1149" xr:uid="{00000000-0005-0000-0000-00007A040000}"/>
    <cellStyle name="Normal 2 2 16" xfId="1150" xr:uid="{00000000-0005-0000-0000-00007B040000}"/>
    <cellStyle name="Normal 2 2 16 2" xfId="1151" xr:uid="{00000000-0005-0000-0000-00007C040000}"/>
    <cellStyle name="Normal 2 2 17" xfId="1152" xr:uid="{00000000-0005-0000-0000-00007D040000}"/>
    <cellStyle name="Normal 2 2 17 2" xfId="1153" xr:uid="{00000000-0005-0000-0000-00007E040000}"/>
    <cellStyle name="Normal 2 2 18" xfId="1154" xr:uid="{00000000-0005-0000-0000-00007F040000}"/>
    <cellStyle name="Normal 2 2 18 2" xfId="1155" xr:uid="{00000000-0005-0000-0000-000080040000}"/>
    <cellStyle name="Normal 2 2 19" xfId="1156" xr:uid="{00000000-0005-0000-0000-000081040000}"/>
    <cellStyle name="Normal 2 2 19 2" xfId="1157" xr:uid="{00000000-0005-0000-0000-000082040000}"/>
    <cellStyle name="Normal 2 2 2" xfId="1158" xr:uid="{00000000-0005-0000-0000-000083040000}"/>
    <cellStyle name="Normal 2 2 2 2" xfId="1159" xr:uid="{00000000-0005-0000-0000-000084040000}"/>
    <cellStyle name="Normal 2 2 20" xfId="1160" xr:uid="{00000000-0005-0000-0000-000085040000}"/>
    <cellStyle name="Normal 2 2 21" xfId="1161" xr:uid="{00000000-0005-0000-0000-000086040000}"/>
    <cellStyle name="Normal 2 2 22" xfId="1162" xr:uid="{00000000-0005-0000-0000-000087040000}"/>
    <cellStyle name="Normal 2 2 3" xfId="6" xr:uid="{00000000-0005-0000-0000-000088040000}"/>
    <cellStyle name="Normal 2 2 4" xfId="1163" xr:uid="{00000000-0005-0000-0000-000089040000}"/>
    <cellStyle name="Normal 2 2 4 10" xfId="1164" xr:uid="{00000000-0005-0000-0000-00008A040000}"/>
    <cellStyle name="Normal 2 2 4 11" xfId="1165" xr:uid="{00000000-0005-0000-0000-00008B040000}"/>
    <cellStyle name="Normal 2 2 4 12" xfId="1166" xr:uid="{00000000-0005-0000-0000-00008C040000}"/>
    <cellStyle name="Normal 2 2 4 13" xfId="1167" xr:uid="{00000000-0005-0000-0000-00008D040000}"/>
    <cellStyle name="Normal 2 2 4 14" xfId="1168" xr:uid="{00000000-0005-0000-0000-00008E040000}"/>
    <cellStyle name="Normal 2 2 4 2" xfId="1169" xr:uid="{00000000-0005-0000-0000-00008F040000}"/>
    <cellStyle name="Normal 2 2 4 2 10" xfId="1170" xr:uid="{00000000-0005-0000-0000-000090040000}"/>
    <cellStyle name="Normal 2 2 4 2 10 2" xfId="1171" xr:uid="{00000000-0005-0000-0000-000091040000}"/>
    <cellStyle name="Normal 2 2 4 2 11" xfId="1172" xr:uid="{00000000-0005-0000-0000-000092040000}"/>
    <cellStyle name="Normal 2 2 4 2 11 2" xfId="1173" xr:uid="{00000000-0005-0000-0000-000093040000}"/>
    <cellStyle name="Normal 2 2 4 2 12" xfId="1174" xr:uid="{00000000-0005-0000-0000-000094040000}"/>
    <cellStyle name="Normal 2 2 4 2 12 2" xfId="1175" xr:uid="{00000000-0005-0000-0000-000095040000}"/>
    <cellStyle name="Normal 2 2 4 2 13" xfId="1176" xr:uid="{00000000-0005-0000-0000-000096040000}"/>
    <cellStyle name="Normal 2 2 4 2 13 2" xfId="1177" xr:uid="{00000000-0005-0000-0000-000097040000}"/>
    <cellStyle name="Normal 2 2 4 2 2" xfId="1178" xr:uid="{00000000-0005-0000-0000-000098040000}"/>
    <cellStyle name="Normal 2 2 4 2 2 2" xfId="1179" xr:uid="{00000000-0005-0000-0000-000099040000}"/>
    <cellStyle name="Normal 2 2 4 2 3" xfId="1180" xr:uid="{00000000-0005-0000-0000-00009A040000}"/>
    <cellStyle name="Normal 2 2 4 2 3 2" xfId="1181" xr:uid="{00000000-0005-0000-0000-00009B040000}"/>
    <cellStyle name="Normal 2 2 4 2 4" xfId="1182" xr:uid="{00000000-0005-0000-0000-00009C040000}"/>
    <cellStyle name="Normal 2 2 4 2 4 2" xfId="1183" xr:uid="{00000000-0005-0000-0000-00009D040000}"/>
    <cellStyle name="Normal 2 2 4 2 5" xfId="1184" xr:uid="{00000000-0005-0000-0000-00009E040000}"/>
    <cellStyle name="Normal 2 2 4 2 5 2" xfId="1185" xr:uid="{00000000-0005-0000-0000-00009F040000}"/>
    <cellStyle name="Normal 2 2 4 2 6" xfId="1186" xr:uid="{00000000-0005-0000-0000-0000A0040000}"/>
    <cellStyle name="Normal 2 2 4 2 6 2" xfId="1187" xr:uid="{00000000-0005-0000-0000-0000A1040000}"/>
    <cellStyle name="Normal 2 2 4 2 7" xfId="1188" xr:uid="{00000000-0005-0000-0000-0000A2040000}"/>
    <cellStyle name="Normal 2 2 4 2 7 2" xfId="1189" xr:uid="{00000000-0005-0000-0000-0000A3040000}"/>
    <cellStyle name="Normal 2 2 4 2 8" xfId="1190" xr:uid="{00000000-0005-0000-0000-0000A4040000}"/>
    <cellStyle name="Normal 2 2 4 2 8 2" xfId="1191" xr:uid="{00000000-0005-0000-0000-0000A5040000}"/>
    <cellStyle name="Normal 2 2 4 2 9" xfId="1192" xr:uid="{00000000-0005-0000-0000-0000A6040000}"/>
    <cellStyle name="Normal 2 2 4 2 9 2" xfId="1193" xr:uid="{00000000-0005-0000-0000-0000A7040000}"/>
    <cellStyle name="Normal 2 2 4 3" xfId="1194" xr:uid="{00000000-0005-0000-0000-0000A8040000}"/>
    <cellStyle name="Normal 2 2 4 4" xfId="1195" xr:uid="{00000000-0005-0000-0000-0000A9040000}"/>
    <cellStyle name="Normal 2 2 4 5" xfId="1196" xr:uid="{00000000-0005-0000-0000-0000AA040000}"/>
    <cellStyle name="Normal 2 2 4 6" xfId="1197" xr:uid="{00000000-0005-0000-0000-0000AB040000}"/>
    <cellStyle name="Normal 2 2 4 7" xfId="1198" xr:uid="{00000000-0005-0000-0000-0000AC040000}"/>
    <cellStyle name="Normal 2 2 4 8" xfId="1199" xr:uid="{00000000-0005-0000-0000-0000AD040000}"/>
    <cellStyle name="Normal 2 2 4 9" xfId="1200" xr:uid="{00000000-0005-0000-0000-0000AE040000}"/>
    <cellStyle name="Normal 2 2 5" xfId="1201" xr:uid="{00000000-0005-0000-0000-0000AF040000}"/>
    <cellStyle name="Normal 2 2 5 2" xfId="1202" xr:uid="{00000000-0005-0000-0000-0000B0040000}"/>
    <cellStyle name="Normal 2 2 6" xfId="1203" xr:uid="{00000000-0005-0000-0000-0000B1040000}"/>
    <cellStyle name="Normal 2 2 6 2" xfId="1204" xr:uid="{00000000-0005-0000-0000-0000B2040000}"/>
    <cellStyle name="Normal 2 2 7" xfId="1205" xr:uid="{00000000-0005-0000-0000-0000B3040000}"/>
    <cellStyle name="Normal 2 2 7 2" xfId="1206" xr:uid="{00000000-0005-0000-0000-0000B4040000}"/>
    <cellStyle name="Normal 2 2 8" xfId="1207" xr:uid="{00000000-0005-0000-0000-0000B5040000}"/>
    <cellStyle name="Normal 2 2 8 2" xfId="1208" xr:uid="{00000000-0005-0000-0000-0000B6040000}"/>
    <cellStyle name="Normal 2 2 8 2 2" xfId="1209" xr:uid="{00000000-0005-0000-0000-0000B7040000}"/>
    <cellStyle name="Normal 2 2 8 3" xfId="1210" xr:uid="{00000000-0005-0000-0000-0000B8040000}"/>
    <cellStyle name="Normal 2 2 9" xfId="1211" xr:uid="{00000000-0005-0000-0000-0000B9040000}"/>
    <cellStyle name="Normal 2 2 9 2" xfId="1212" xr:uid="{00000000-0005-0000-0000-0000BA040000}"/>
    <cellStyle name="Normal 2 20" xfId="1213" xr:uid="{00000000-0005-0000-0000-0000BB040000}"/>
    <cellStyle name="Normal 2 21" xfId="1214" xr:uid="{00000000-0005-0000-0000-0000BC040000}"/>
    <cellStyle name="Normal 2 22" xfId="1215" xr:uid="{00000000-0005-0000-0000-0000BD040000}"/>
    <cellStyle name="Normal 2 23" xfId="1216" xr:uid="{00000000-0005-0000-0000-0000BE040000}"/>
    <cellStyle name="Normal 2 24" xfId="1217" xr:uid="{00000000-0005-0000-0000-0000BF040000}"/>
    <cellStyle name="Normal 2 25" xfId="1218" xr:uid="{00000000-0005-0000-0000-0000C0040000}"/>
    <cellStyle name="Normal 2 26" xfId="1219" xr:uid="{00000000-0005-0000-0000-0000C1040000}"/>
    <cellStyle name="Normal 2 27" xfId="1220" xr:uid="{00000000-0005-0000-0000-0000C2040000}"/>
    <cellStyle name="Normal 2 28" xfId="1221" xr:uid="{00000000-0005-0000-0000-0000C3040000}"/>
    <cellStyle name="Normal 2 3" xfId="1222" xr:uid="{00000000-0005-0000-0000-0000C4040000}"/>
    <cellStyle name="Normal 2 3 2" xfId="1223" xr:uid="{00000000-0005-0000-0000-0000C5040000}"/>
    <cellStyle name="Normal 2 4" xfId="10" xr:uid="{00000000-0005-0000-0000-0000C6040000}"/>
    <cellStyle name="Normal 2 5" xfId="1224" xr:uid="{00000000-0005-0000-0000-0000C7040000}"/>
    <cellStyle name="Normal 2 6" xfId="1225" xr:uid="{00000000-0005-0000-0000-0000C8040000}"/>
    <cellStyle name="Normal 2 7" xfId="1226" xr:uid="{00000000-0005-0000-0000-0000C9040000}"/>
    <cellStyle name="Normal 2 7 2" xfId="1227" xr:uid="{00000000-0005-0000-0000-0000CA040000}"/>
    <cellStyle name="Normal 2 8" xfId="1228" xr:uid="{00000000-0005-0000-0000-0000CB040000}"/>
    <cellStyle name="Normal 2 8 2" xfId="1229" xr:uid="{00000000-0005-0000-0000-0000CC040000}"/>
    <cellStyle name="Normal 2 9" xfId="1230" xr:uid="{00000000-0005-0000-0000-0000CD040000}"/>
    <cellStyle name="Normal 2 9 2" xfId="1231" xr:uid="{00000000-0005-0000-0000-0000CE040000}"/>
    <cellStyle name="Normal 2_2210_2220_2230_2240_2250_2260" xfId="1232" xr:uid="{00000000-0005-0000-0000-0000CF040000}"/>
    <cellStyle name="Normal 20" xfId="1233" xr:uid="{00000000-0005-0000-0000-0000D0040000}"/>
    <cellStyle name="Normal 21" xfId="1234" xr:uid="{00000000-0005-0000-0000-0000D1040000}"/>
    <cellStyle name="Normal 22" xfId="1235" xr:uid="{00000000-0005-0000-0000-0000D2040000}"/>
    <cellStyle name="Normal 23" xfId="1236" xr:uid="{00000000-0005-0000-0000-0000D3040000}"/>
    <cellStyle name="Normal 24" xfId="1237" xr:uid="{00000000-0005-0000-0000-0000D4040000}"/>
    <cellStyle name="Normal 25" xfId="1238" xr:uid="{00000000-0005-0000-0000-0000D5040000}"/>
    <cellStyle name="Normal 26" xfId="8" xr:uid="{00000000-0005-0000-0000-0000D6040000}"/>
    <cellStyle name="Normal 26 2" xfId="1240" xr:uid="{00000000-0005-0000-0000-0000D7040000}"/>
    <cellStyle name="Normal 26 3" xfId="1241" xr:uid="{00000000-0005-0000-0000-0000D8040000}"/>
    <cellStyle name="Normal 26 4" xfId="1239" xr:uid="{00000000-0005-0000-0000-0000D9040000}"/>
    <cellStyle name="Normal 27" xfId="11" xr:uid="{00000000-0005-0000-0000-0000DA040000}"/>
    <cellStyle name="Normal 28" xfId="1242" xr:uid="{00000000-0005-0000-0000-0000DB040000}"/>
    <cellStyle name="Normal 29" xfId="1243" xr:uid="{00000000-0005-0000-0000-0000DC040000}"/>
    <cellStyle name="Normal 29 2" xfId="1244" xr:uid="{00000000-0005-0000-0000-0000DD040000}"/>
    <cellStyle name="Normal 3" xfId="1245" xr:uid="{00000000-0005-0000-0000-0000DE040000}"/>
    <cellStyle name="Normal 3 10" xfId="1246" xr:uid="{00000000-0005-0000-0000-0000DF040000}"/>
    <cellStyle name="Normal 3 10 2" xfId="1247" xr:uid="{00000000-0005-0000-0000-0000E0040000}"/>
    <cellStyle name="Normal 3 11" xfId="1248" xr:uid="{00000000-0005-0000-0000-0000E1040000}"/>
    <cellStyle name="Normal 3 12" xfId="1249" xr:uid="{00000000-0005-0000-0000-0000E2040000}"/>
    <cellStyle name="Normal 3 13" xfId="1250" xr:uid="{00000000-0005-0000-0000-0000E3040000}"/>
    <cellStyle name="Normal 3 14" xfId="1251" xr:uid="{00000000-0005-0000-0000-0000E4040000}"/>
    <cellStyle name="Normal 3 15" xfId="1252" xr:uid="{00000000-0005-0000-0000-0000E5040000}"/>
    <cellStyle name="Normal 3 16" xfId="1253" xr:uid="{00000000-0005-0000-0000-0000E6040000}"/>
    <cellStyle name="Normal 3 17" xfId="1254" xr:uid="{00000000-0005-0000-0000-0000E7040000}"/>
    <cellStyle name="Normal 3 18" xfId="1255" xr:uid="{00000000-0005-0000-0000-0000E8040000}"/>
    <cellStyle name="Normal 3 19" xfId="1256" xr:uid="{00000000-0005-0000-0000-0000E9040000}"/>
    <cellStyle name="Normal 3 2" xfId="1257" xr:uid="{00000000-0005-0000-0000-0000EA040000}"/>
    <cellStyle name="Normal 3 2 2" xfId="1258" xr:uid="{00000000-0005-0000-0000-0000EB040000}"/>
    <cellStyle name="Normal 3 20" xfId="1259" xr:uid="{00000000-0005-0000-0000-0000EC040000}"/>
    <cellStyle name="Normal 3 21" xfId="1260" xr:uid="{00000000-0005-0000-0000-0000ED040000}"/>
    <cellStyle name="Normal 3 22" xfId="1261" xr:uid="{00000000-0005-0000-0000-0000EE040000}"/>
    <cellStyle name="Normal 3 23" xfId="1262" xr:uid="{00000000-0005-0000-0000-0000EF040000}"/>
    <cellStyle name="Normal 3 24" xfId="1462" xr:uid="{00000000-0005-0000-0000-0000F0040000}"/>
    <cellStyle name="Normal 3 3" xfId="1263" xr:uid="{00000000-0005-0000-0000-0000F1040000}"/>
    <cellStyle name="Normal 3 3 2" xfId="1264" xr:uid="{00000000-0005-0000-0000-0000F2040000}"/>
    <cellStyle name="Normal 3 4" xfId="1265" xr:uid="{00000000-0005-0000-0000-0000F3040000}"/>
    <cellStyle name="Normal 3 4 2" xfId="1266" xr:uid="{00000000-0005-0000-0000-0000F4040000}"/>
    <cellStyle name="Normal 3 5" xfId="1267" xr:uid="{00000000-0005-0000-0000-0000F5040000}"/>
    <cellStyle name="Normal 3 6" xfId="1268" xr:uid="{00000000-0005-0000-0000-0000F6040000}"/>
    <cellStyle name="Normal 3 6 2" xfId="1269" xr:uid="{00000000-0005-0000-0000-0000F7040000}"/>
    <cellStyle name="Normal 3 7" xfId="1270" xr:uid="{00000000-0005-0000-0000-0000F8040000}"/>
    <cellStyle name="Normal 3 7 2" xfId="1271" xr:uid="{00000000-0005-0000-0000-0000F9040000}"/>
    <cellStyle name="Normal 3 8" xfId="1272" xr:uid="{00000000-0005-0000-0000-0000FA040000}"/>
    <cellStyle name="Normal 3 8 2" xfId="1273" xr:uid="{00000000-0005-0000-0000-0000FB040000}"/>
    <cellStyle name="Normal 3 9" xfId="1274" xr:uid="{00000000-0005-0000-0000-0000FC040000}"/>
    <cellStyle name="Normal 3 9 2" xfId="1275" xr:uid="{00000000-0005-0000-0000-0000FD040000}"/>
    <cellStyle name="Normal 3_2210_2220_2230_2240_2250_2260" xfId="1276" xr:uid="{00000000-0005-0000-0000-0000FE040000}"/>
    <cellStyle name="Normal 30" xfId="1277" xr:uid="{00000000-0005-0000-0000-0000FF040000}"/>
    <cellStyle name="Normal 30 2" xfId="1278" xr:uid="{00000000-0005-0000-0000-000000050000}"/>
    <cellStyle name="Normal 31" xfId="1279" xr:uid="{00000000-0005-0000-0000-000001050000}"/>
    <cellStyle name="Normal 31 2" xfId="1280" xr:uid="{00000000-0005-0000-0000-000002050000}"/>
    <cellStyle name="Normal 32" xfId="1281" xr:uid="{00000000-0005-0000-0000-000003050000}"/>
    <cellStyle name="Normal 32 2" xfId="1282" xr:uid="{00000000-0005-0000-0000-000004050000}"/>
    <cellStyle name="Normal 32 2 2" xfId="1283" xr:uid="{00000000-0005-0000-0000-000005050000}"/>
    <cellStyle name="Normal 32 3" xfId="1284" xr:uid="{00000000-0005-0000-0000-000006050000}"/>
    <cellStyle name="Normal 32 3 2" xfId="1285" xr:uid="{00000000-0005-0000-0000-000007050000}"/>
    <cellStyle name="Normal 32 4" xfId="1286" xr:uid="{00000000-0005-0000-0000-000008050000}"/>
    <cellStyle name="Normal 32 4 2" xfId="1287" xr:uid="{00000000-0005-0000-0000-000009050000}"/>
    <cellStyle name="Normal 32 5" xfId="1288" xr:uid="{00000000-0005-0000-0000-00000A050000}"/>
    <cellStyle name="Normal 33" xfId="1289" xr:uid="{00000000-0005-0000-0000-00000B050000}"/>
    <cellStyle name="Normal 33 2" xfId="1290" xr:uid="{00000000-0005-0000-0000-00000C050000}"/>
    <cellStyle name="Normal 34" xfId="1291" xr:uid="{00000000-0005-0000-0000-00000D050000}"/>
    <cellStyle name="Normal 34 2" xfId="1292" xr:uid="{00000000-0005-0000-0000-00000E050000}"/>
    <cellStyle name="Normal 35" xfId="1293" xr:uid="{00000000-0005-0000-0000-00000F050000}"/>
    <cellStyle name="Normal 35 2" xfId="1294" xr:uid="{00000000-0005-0000-0000-000010050000}"/>
    <cellStyle name="Normal 36" xfId="1295" xr:uid="{00000000-0005-0000-0000-000011050000}"/>
    <cellStyle name="Normal 36 2" xfId="1296" xr:uid="{00000000-0005-0000-0000-000012050000}"/>
    <cellStyle name="Normal 37" xfId="1297" xr:uid="{00000000-0005-0000-0000-000013050000}"/>
    <cellStyle name="Normal 37 2" xfId="1298" xr:uid="{00000000-0005-0000-0000-000014050000}"/>
    <cellStyle name="Normal 38" xfId="1299" xr:uid="{00000000-0005-0000-0000-000015050000}"/>
    <cellStyle name="Normal 39" xfId="1461" xr:uid="{00000000-0005-0000-0000-000016050000}"/>
    <cellStyle name="Normal 4" xfId="1300" xr:uid="{00000000-0005-0000-0000-000017050000}"/>
    <cellStyle name="Normal 4 10" xfId="1301" xr:uid="{00000000-0005-0000-0000-000018050000}"/>
    <cellStyle name="Normal 4 11" xfId="1302" xr:uid="{00000000-0005-0000-0000-000019050000}"/>
    <cellStyle name="Normal 4 12" xfId="1303" xr:uid="{00000000-0005-0000-0000-00001A050000}"/>
    <cellStyle name="Normal 4 13" xfId="1304" xr:uid="{00000000-0005-0000-0000-00001B050000}"/>
    <cellStyle name="Normal 4 14" xfId="1305" xr:uid="{00000000-0005-0000-0000-00001C050000}"/>
    <cellStyle name="Normal 4 15" xfId="1306" xr:uid="{00000000-0005-0000-0000-00001D050000}"/>
    <cellStyle name="Normal 4 16" xfId="1307" xr:uid="{00000000-0005-0000-0000-00001E050000}"/>
    <cellStyle name="Normal 4 17" xfId="1308" xr:uid="{00000000-0005-0000-0000-00001F050000}"/>
    <cellStyle name="Normal 4 2" xfId="1309" xr:uid="{00000000-0005-0000-0000-000020050000}"/>
    <cellStyle name="Normal 4 2 2" xfId="1310" xr:uid="{00000000-0005-0000-0000-000021050000}"/>
    <cellStyle name="Normal 4 2 2 2" xfId="1311" xr:uid="{00000000-0005-0000-0000-000022050000}"/>
    <cellStyle name="Normal 4 2 3" xfId="1312" xr:uid="{00000000-0005-0000-0000-000023050000}"/>
    <cellStyle name="Normal 4 3" xfId="1313" xr:uid="{00000000-0005-0000-0000-000024050000}"/>
    <cellStyle name="Normal 4 3 2" xfId="1314" xr:uid="{00000000-0005-0000-0000-000025050000}"/>
    <cellStyle name="Normal 4 4" xfId="1315" xr:uid="{00000000-0005-0000-0000-000026050000}"/>
    <cellStyle name="Normal 4 4 2" xfId="1316" xr:uid="{00000000-0005-0000-0000-000027050000}"/>
    <cellStyle name="Normal 4 5" xfId="1317" xr:uid="{00000000-0005-0000-0000-000028050000}"/>
    <cellStyle name="Normal 4 6" xfId="1318" xr:uid="{00000000-0005-0000-0000-000029050000}"/>
    <cellStyle name="Normal 4 7" xfId="1319" xr:uid="{00000000-0005-0000-0000-00002A050000}"/>
    <cellStyle name="Normal 4 8" xfId="1320" xr:uid="{00000000-0005-0000-0000-00002B050000}"/>
    <cellStyle name="Normal 4 9" xfId="1321" xr:uid="{00000000-0005-0000-0000-00002C050000}"/>
    <cellStyle name="Normal 4_2210_2220_2230_2240_2250_2260" xfId="1322" xr:uid="{00000000-0005-0000-0000-00002D050000}"/>
    <cellStyle name="Normal 40" xfId="1466" xr:uid="{00000000-0005-0000-0000-00002E050000}"/>
    <cellStyle name="Normal 45" xfId="1323" xr:uid="{00000000-0005-0000-0000-00002F050000}"/>
    <cellStyle name="Normal 45 2" xfId="1324" xr:uid="{00000000-0005-0000-0000-000030050000}"/>
    <cellStyle name="Normal 45 2 2" xfId="1325" xr:uid="{00000000-0005-0000-0000-000031050000}"/>
    <cellStyle name="Normal 45 3" xfId="1326" xr:uid="{00000000-0005-0000-0000-000032050000}"/>
    <cellStyle name="Normal 45 3 2" xfId="1327" xr:uid="{00000000-0005-0000-0000-000033050000}"/>
    <cellStyle name="Normal 45 4" xfId="1328" xr:uid="{00000000-0005-0000-0000-000034050000}"/>
    <cellStyle name="Normal 45 4 2" xfId="1329" xr:uid="{00000000-0005-0000-0000-000035050000}"/>
    <cellStyle name="Normal 45 5" xfId="1330" xr:uid="{00000000-0005-0000-0000-000036050000}"/>
    <cellStyle name="Normal 5" xfId="1331" xr:uid="{00000000-0005-0000-0000-000037050000}"/>
    <cellStyle name="Normal 5 2" xfId="1332" xr:uid="{00000000-0005-0000-0000-000038050000}"/>
    <cellStyle name="Normal 5 3" xfId="1333" xr:uid="{00000000-0005-0000-0000-000039050000}"/>
    <cellStyle name="Normal 50" xfId="1334" xr:uid="{00000000-0005-0000-0000-00003A050000}"/>
    <cellStyle name="Normal 50 2" xfId="1335" xr:uid="{00000000-0005-0000-0000-00003B050000}"/>
    <cellStyle name="Normal 50 2 2" xfId="1336" xr:uid="{00000000-0005-0000-0000-00003C050000}"/>
    <cellStyle name="Normal 50 3" xfId="1337" xr:uid="{00000000-0005-0000-0000-00003D050000}"/>
    <cellStyle name="Normal 50 3 2" xfId="1338" xr:uid="{00000000-0005-0000-0000-00003E050000}"/>
    <cellStyle name="Normal 50 4" xfId="1339" xr:uid="{00000000-0005-0000-0000-00003F050000}"/>
    <cellStyle name="Normal 51" xfId="1340" xr:uid="{00000000-0005-0000-0000-000040050000}"/>
    <cellStyle name="Normal 51 2" xfId="1341" xr:uid="{00000000-0005-0000-0000-000041050000}"/>
    <cellStyle name="Normal 51 2 2" xfId="1342" xr:uid="{00000000-0005-0000-0000-000042050000}"/>
    <cellStyle name="Normal 51 3" xfId="1343" xr:uid="{00000000-0005-0000-0000-000043050000}"/>
    <cellStyle name="Normal 51 3 2" xfId="1344" xr:uid="{00000000-0005-0000-0000-000044050000}"/>
    <cellStyle name="Normal 51 4" xfId="1345" xr:uid="{00000000-0005-0000-0000-000045050000}"/>
    <cellStyle name="Normal 6" xfId="1346" xr:uid="{00000000-0005-0000-0000-000046050000}"/>
    <cellStyle name="Normal 6 2" xfId="1347" xr:uid="{00000000-0005-0000-0000-000047050000}"/>
    <cellStyle name="Normal 6 2 2" xfId="1348" xr:uid="{00000000-0005-0000-0000-000048050000}"/>
    <cellStyle name="Normal 6 3" xfId="1349" xr:uid="{00000000-0005-0000-0000-000049050000}"/>
    <cellStyle name="Normal 6 4" xfId="1350" xr:uid="{00000000-0005-0000-0000-00004A050000}"/>
    <cellStyle name="Normal 6 4 2" xfId="7" xr:uid="{00000000-0005-0000-0000-00004B050000}"/>
    <cellStyle name="Normal 6 4 2 2" xfId="1352" xr:uid="{00000000-0005-0000-0000-00004C050000}"/>
    <cellStyle name="Normal 6 4 2 2 2" xfId="1353" xr:uid="{00000000-0005-0000-0000-00004D050000}"/>
    <cellStyle name="Normal 6 4 2 3" xfId="1354" xr:uid="{00000000-0005-0000-0000-00004E050000}"/>
    <cellStyle name="Normal 6 4 2 4" xfId="1355" xr:uid="{00000000-0005-0000-0000-00004F050000}"/>
    <cellStyle name="Normal 6 4 2 5" xfId="1351" xr:uid="{00000000-0005-0000-0000-000050050000}"/>
    <cellStyle name="Normal 6 4 3" xfId="1356" xr:uid="{00000000-0005-0000-0000-000051050000}"/>
    <cellStyle name="Normal 60 2" xfId="1357" xr:uid="{00000000-0005-0000-0000-000052050000}"/>
    <cellStyle name="Normal 60 2 2" xfId="1358" xr:uid="{00000000-0005-0000-0000-000053050000}"/>
    <cellStyle name="Normal 7" xfId="1359" xr:uid="{00000000-0005-0000-0000-000054050000}"/>
    <cellStyle name="Normal 70" xfId="1360" xr:uid="{00000000-0005-0000-0000-000055050000}"/>
    <cellStyle name="Normal 8" xfId="1361" xr:uid="{00000000-0005-0000-0000-000056050000}"/>
    <cellStyle name="Normal 8 2" xfId="5" xr:uid="{00000000-0005-0000-0000-000057050000}"/>
    <cellStyle name="Normal 9" xfId="1362" xr:uid="{00000000-0005-0000-0000-000058050000}"/>
    <cellStyle name="Normal_Sheet3" xfId="1467" xr:uid="{00000000-0005-0000-0000-000059050000}"/>
    <cellStyle name="Note 10" xfId="1363" xr:uid="{00000000-0005-0000-0000-00005A050000}"/>
    <cellStyle name="Note 11" xfId="1364" xr:uid="{00000000-0005-0000-0000-00005B050000}"/>
    <cellStyle name="Note 12" xfId="1365" xr:uid="{00000000-0005-0000-0000-00005C050000}"/>
    <cellStyle name="Note 13" xfId="1366" xr:uid="{00000000-0005-0000-0000-00005D050000}"/>
    <cellStyle name="Note 14" xfId="1367" xr:uid="{00000000-0005-0000-0000-00005E050000}"/>
    <cellStyle name="Note 15" xfId="1368" xr:uid="{00000000-0005-0000-0000-00005F050000}"/>
    <cellStyle name="Note 16" xfId="1369" xr:uid="{00000000-0005-0000-0000-000060050000}"/>
    <cellStyle name="Note 2" xfId="1370" xr:uid="{00000000-0005-0000-0000-000061050000}"/>
    <cellStyle name="Note 3" xfId="1371" xr:uid="{00000000-0005-0000-0000-000062050000}"/>
    <cellStyle name="Note 4" xfId="1372" xr:uid="{00000000-0005-0000-0000-000063050000}"/>
    <cellStyle name="Note 5" xfId="1373" xr:uid="{00000000-0005-0000-0000-000064050000}"/>
    <cellStyle name="Note 6" xfId="1374" xr:uid="{00000000-0005-0000-0000-000065050000}"/>
    <cellStyle name="Note 7" xfId="1375" xr:uid="{00000000-0005-0000-0000-000066050000}"/>
    <cellStyle name="Note 8" xfId="1376" xr:uid="{00000000-0005-0000-0000-000067050000}"/>
    <cellStyle name="Note 9" xfId="1377" xr:uid="{00000000-0005-0000-0000-000068050000}"/>
    <cellStyle name="Output 10" xfId="1378" xr:uid="{00000000-0005-0000-0000-000069050000}"/>
    <cellStyle name="Output 11" xfId="1379" xr:uid="{00000000-0005-0000-0000-00006A050000}"/>
    <cellStyle name="Output 12" xfId="1380" xr:uid="{00000000-0005-0000-0000-00006B050000}"/>
    <cellStyle name="Output 13" xfId="1381" xr:uid="{00000000-0005-0000-0000-00006C050000}"/>
    <cellStyle name="Output 14" xfId="1382" xr:uid="{00000000-0005-0000-0000-00006D050000}"/>
    <cellStyle name="Output 15" xfId="1383" xr:uid="{00000000-0005-0000-0000-00006E050000}"/>
    <cellStyle name="Output 16" xfId="1384" xr:uid="{00000000-0005-0000-0000-00006F050000}"/>
    <cellStyle name="Output 2" xfId="1385" xr:uid="{00000000-0005-0000-0000-000070050000}"/>
    <cellStyle name="Output 3" xfId="1386" xr:uid="{00000000-0005-0000-0000-000071050000}"/>
    <cellStyle name="Output 4" xfId="1387" xr:uid="{00000000-0005-0000-0000-000072050000}"/>
    <cellStyle name="Output 5" xfId="1388" xr:uid="{00000000-0005-0000-0000-000073050000}"/>
    <cellStyle name="Output 6" xfId="1389" xr:uid="{00000000-0005-0000-0000-000074050000}"/>
    <cellStyle name="Output 7" xfId="1390" xr:uid="{00000000-0005-0000-0000-000075050000}"/>
    <cellStyle name="Output 8" xfId="1391" xr:uid="{00000000-0005-0000-0000-000076050000}"/>
    <cellStyle name="Output 9" xfId="1392" xr:uid="{00000000-0005-0000-0000-000077050000}"/>
    <cellStyle name="Parasts" xfId="0" builtinId="0"/>
    <cellStyle name="Percent 2" xfId="1393" xr:uid="{00000000-0005-0000-0000-000078050000}"/>
    <cellStyle name="Percent 2 2" xfId="1394" xr:uid="{00000000-0005-0000-0000-000079050000}"/>
    <cellStyle name="Percent 3" xfId="1395" xr:uid="{00000000-0005-0000-0000-00007A050000}"/>
    <cellStyle name="Percent 4" xfId="1396" xr:uid="{00000000-0005-0000-0000-00007B050000}"/>
    <cellStyle name="Percent 5" xfId="1397" xr:uid="{00000000-0005-0000-0000-00007C050000}"/>
    <cellStyle name="Percent 6" xfId="1398" xr:uid="{00000000-0005-0000-0000-00007D050000}"/>
    <cellStyle name="Percent 6 2" xfId="1399" xr:uid="{00000000-0005-0000-0000-00007E050000}"/>
    <cellStyle name="Procenti" xfId="12" builtinId="5"/>
    <cellStyle name="Title 10" xfId="1400" xr:uid="{00000000-0005-0000-0000-00007F050000}"/>
    <cellStyle name="Title 11" xfId="1401" xr:uid="{00000000-0005-0000-0000-000080050000}"/>
    <cellStyle name="Title 12" xfId="1402" xr:uid="{00000000-0005-0000-0000-000081050000}"/>
    <cellStyle name="Title 13" xfId="1403" xr:uid="{00000000-0005-0000-0000-000082050000}"/>
    <cellStyle name="Title 14" xfId="1404" xr:uid="{00000000-0005-0000-0000-000083050000}"/>
    <cellStyle name="Title 15" xfId="1405" xr:uid="{00000000-0005-0000-0000-000084050000}"/>
    <cellStyle name="Title 16" xfId="1406" xr:uid="{00000000-0005-0000-0000-000085050000}"/>
    <cellStyle name="Title 2" xfId="1407" xr:uid="{00000000-0005-0000-0000-000086050000}"/>
    <cellStyle name="Title 3" xfId="1408" xr:uid="{00000000-0005-0000-0000-000087050000}"/>
    <cellStyle name="Title 4" xfId="1409" xr:uid="{00000000-0005-0000-0000-000088050000}"/>
    <cellStyle name="Title 5" xfId="1410" xr:uid="{00000000-0005-0000-0000-000089050000}"/>
    <cellStyle name="Title 6" xfId="1411" xr:uid="{00000000-0005-0000-0000-00008A050000}"/>
    <cellStyle name="Title 7" xfId="1412" xr:uid="{00000000-0005-0000-0000-00008B050000}"/>
    <cellStyle name="Title 8" xfId="1413" xr:uid="{00000000-0005-0000-0000-00008C050000}"/>
    <cellStyle name="Title 9" xfId="1414" xr:uid="{00000000-0005-0000-0000-00008D050000}"/>
    <cellStyle name="Total 10" xfId="1415" xr:uid="{00000000-0005-0000-0000-00008E050000}"/>
    <cellStyle name="Total 10 2" xfId="1416" xr:uid="{00000000-0005-0000-0000-00008F050000}"/>
    <cellStyle name="Total 11" xfId="1417" xr:uid="{00000000-0005-0000-0000-000090050000}"/>
    <cellStyle name="Total 11 2" xfId="1418" xr:uid="{00000000-0005-0000-0000-000091050000}"/>
    <cellStyle name="Total 12" xfId="1419" xr:uid="{00000000-0005-0000-0000-000092050000}"/>
    <cellStyle name="Total 12 2" xfId="1420" xr:uid="{00000000-0005-0000-0000-000093050000}"/>
    <cellStyle name="Total 13" xfId="1421" xr:uid="{00000000-0005-0000-0000-000094050000}"/>
    <cellStyle name="Total 13 2" xfId="1422" xr:uid="{00000000-0005-0000-0000-000095050000}"/>
    <cellStyle name="Total 14" xfId="1423" xr:uid="{00000000-0005-0000-0000-000096050000}"/>
    <cellStyle name="Total 14 2" xfId="1424" xr:uid="{00000000-0005-0000-0000-000097050000}"/>
    <cellStyle name="Total 15" xfId="1425" xr:uid="{00000000-0005-0000-0000-000098050000}"/>
    <cellStyle name="Total 15 2" xfId="1426" xr:uid="{00000000-0005-0000-0000-000099050000}"/>
    <cellStyle name="Total 16" xfId="1427" xr:uid="{00000000-0005-0000-0000-00009A050000}"/>
    <cellStyle name="Total 2" xfId="1428" xr:uid="{00000000-0005-0000-0000-00009B050000}"/>
    <cellStyle name="Total 2 2" xfId="1429" xr:uid="{00000000-0005-0000-0000-00009C050000}"/>
    <cellStyle name="Total 3" xfId="1430" xr:uid="{00000000-0005-0000-0000-00009D050000}"/>
    <cellStyle name="Total 3 2" xfId="1431" xr:uid="{00000000-0005-0000-0000-00009E050000}"/>
    <cellStyle name="Total 4" xfId="1432" xr:uid="{00000000-0005-0000-0000-00009F050000}"/>
    <cellStyle name="Total 4 2" xfId="1433" xr:uid="{00000000-0005-0000-0000-0000A0050000}"/>
    <cellStyle name="Total 5" xfId="1434" xr:uid="{00000000-0005-0000-0000-0000A1050000}"/>
    <cellStyle name="Total 5 2" xfId="1435" xr:uid="{00000000-0005-0000-0000-0000A2050000}"/>
    <cellStyle name="Total 6" xfId="1436" xr:uid="{00000000-0005-0000-0000-0000A3050000}"/>
    <cellStyle name="Total 6 2" xfId="1437" xr:uid="{00000000-0005-0000-0000-0000A4050000}"/>
    <cellStyle name="Total 7" xfId="1438" xr:uid="{00000000-0005-0000-0000-0000A5050000}"/>
    <cellStyle name="Total 7 2" xfId="1439" xr:uid="{00000000-0005-0000-0000-0000A6050000}"/>
    <cellStyle name="Total 8" xfId="1440" xr:uid="{00000000-0005-0000-0000-0000A7050000}"/>
    <cellStyle name="Total 8 2" xfId="1441" xr:uid="{00000000-0005-0000-0000-0000A8050000}"/>
    <cellStyle name="Total 9" xfId="1442" xr:uid="{00000000-0005-0000-0000-0000A9050000}"/>
    <cellStyle name="Total 9 2" xfId="1443" xr:uid="{00000000-0005-0000-0000-0000AA050000}"/>
    <cellStyle name="Warning Text 10" xfId="1444" xr:uid="{00000000-0005-0000-0000-0000AB050000}"/>
    <cellStyle name="Warning Text 11" xfId="1445" xr:uid="{00000000-0005-0000-0000-0000AC050000}"/>
    <cellStyle name="Warning Text 12" xfId="1446" xr:uid="{00000000-0005-0000-0000-0000AD050000}"/>
    <cellStyle name="Warning Text 13" xfId="1447" xr:uid="{00000000-0005-0000-0000-0000AE050000}"/>
    <cellStyle name="Warning Text 14" xfId="1448" xr:uid="{00000000-0005-0000-0000-0000AF050000}"/>
    <cellStyle name="Warning Text 15" xfId="1449" xr:uid="{00000000-0005-0000-0000-0000B0050000}"/>
    <cellStyle name="Warning Text 16" xfId="1450" xr:uid="{00000000-0005-0000-0000-0000B1050000}"/>
    <cellStyle name="Warning Text 2" xfId="1451" xr:uid="{00000000-0005-0000-0000-0000B2050000}"/>
    <cellStyle name="Warning Text 3" xfId="1452" xr:uid="{00000000-0005-0000-0000-0000B3050000}"/>
    <cellStyle name="Warning Text 4" xfId="1453" xr:uid="{00000000-0005-0000-0000-0000B4050000}"/>
    <cellStyle name="Warning Text 5" xfId="1454" xr:uid="{00000000-0005-0000-0000-0000B5050000}"/>
    <cellStyle name="Warning Text 6" xfId="1455" xr:uid="{00000000-0005-0000-0000-0000B6050000}"/>
    <cellStyle name="Warning Text 7" xfId="1456" xr:uid="{00000000-0005-0000-0000-0000B7050000}"/>
    <cellStyle name="Warning Text 8" xfId="1457" xr:uid="{00000000-0005-0000-0000-0000B8050000}"/>
    <cellStyle name="Warning Text 9" xfId="1458" xr:uid="{00000000-0005-0000-0000-0000B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pageSetUpPr fitToPage="1"/>
  </sheetPr>
  <dimension ref="A1:T180"/>
  <sheetViews>
    <sheetView view="pageBreakPreview" zoomScale="90" zoomScaleNormal="10" zoomScaleSheetLayoutView="90" workbookViewId="0">
      <selection activeCell="P4" sqref="P4"/>
    </sheetView>
  </sheetViews>
  <sheetFormatPr defaultColWidth="9.140625" defaultRowHeight="46.5" customHeight="1" outlineLevelCol="1" x14ac:dyDescent="0.2"/>
  <cols>
    <col min="1" max="1" width="11" style="559" customWidth="1"/>
    <col min="2" max="2" width="46.5703125" style="1" customWidth="1"/>
    <col min="3" max="3" width="16.7109375" style="1" hidden="1" customWidth="1"/>
    <col min="4" max="4" width="18.5703125" style="4" hidden="1" customWidth="1"/>
    <col min="5" max="5" width="19.42578125" style="4" hidden="1" customWidth="1"/>
    <col min="6" max="6" width="19.85546875" style="4" hidden="1" customWidth="1" outlineLevel="1"/>
    <col min="7" max="8" width="24.42578125" style="4" hidden="1" customWidth="1" outlineLevel="1"/>
    <col min="9" max="9" width="78.140625" style="4" hidden="1" customWidth="1" outlineLevel="1"/>
    <col min="10" max="10" width="14.42578125" style="4" hidden="1" customWidth="1" collapsed="1"/>
    <col min="11" max="11" width="15.140625" style="4" hidden="1" customWidth="1" outlineLevel="1"/>
    <col min="12" max="13" width="24.42578125" style="4" hidden="1" customWidth="1" outlineLevel="1"/>
    <col min="14" max="14" width="78.140625" style="4" hidden="1" customWidth="1" outlineLevel="1"/>
    <col min="15" max="15" width="19.85546875" style="4" customWidth="1" collapsed="1"/>
    <col min="16" max="16" width="19.85546875" style="4" customWidth="1" outlineLevel="1"/>
    <col min="17" max="18" width="24.42578125" style="4" customWidth="1" outlineLevel="1"/>
    <col min="19" max="19" width="78.140625" style="4" customWidth="1" outlineLevel="1"/>
    <col min="20" max="20" width="12.7109375" style="1" customWidth="1"/>
    <col min="21" max="33" width="9.140625" style="1" customWidth="1"/>
    <col min="34" max="34" width="9.140625" style="1" bestFit="1" customWidth="1"/>
    <col min="35" max="16384" width="9.140625" style="1"/>
  </cols>
  <sheetData>
    <row r="1" spans="1:20" ht="88.5" customHeight="1" x14ac:dyDescent="0.2">
      <c r="A1" s="252" t="s">
        <v>0</v>
      </c>
      <c r="B1" s="537" t="s">
        <v>1</v>
      </c>
      <c r="C1" s="23" t="s">
        <v>2</v>
      </c>
      <c r="D1" s="23" t="s">
        <v>3</v>
      </c>
      <c r="E1" s="23" t="s">
        <v>4</v>
      </c>
      <c r="F1" s="23" t="s">
        <v>5</v>
      </c>
      <c r="G1" s="24" t="s">
        <v>6</v>
      </c>
      <c r="H1" s="25" t="s">
        <v>7</v>
      </c>
      <c r="I1" s="23" t="s">
        <v>8</v>
      </c>
      <c r="J1" s="23" t="s">
        <v>9</v>
      </c>
      <c r="K1" s="23" t="s">
        <v>10</v>
      </c>
      <c r="L1" s="24" t="s">
        <v>6</v>
      </c>
      <c r="M1" s="25" t="s">
        <v>7</v>
      </c>
      <c r="N1" s="23" t="s">
        <v>8</v>
      </c>
      <c r="O1" s="23" t="s">
        <v>11</v>
      </c>
      <c r="P1" s="23" t="s">
        <v>12</v>
      </c>
      <c r="Q1" s="24" t="s">
        <v>6</v>
      </c>
      <c r="R1" s="25" t="s">
        <v>7</v>
      </c>
      <c r="S1" s="23" t="s">
        <v>8</v>
      </c>
    </row>
    <row r="2" spans="1:20" ht="46.5" customHeight="1" x14ac:dyDescent="0.2">
      <c r="A2" s="252">
        <v>1</v>
      </c>
      <c r="B2" s="23">
        <v>2</v>
      </c>
      <c r="C2" s="32">
        <v>3</v>
      </c>
      <c r="D2" s="23">
        <v>4</v>
      </c>
      <c r="E2" s="32">
        <v>5</v>
      </c>
      <c r="F2" s="23">
        <v>6</v>
      </c>
      <c r="G2" s="32">
        <v>7</v>
      </c>
      <c r="H2" s="23">
        <v>8</v>
      </c>
      <c r="I2" s="32">
        <v>9</v>
      </c>
      <c r="J2" s="23">
        <v>10</v>
      </c>
      <c r="K2" s="32">
        <v>11</v>
      </c>
      <c r="L2" s="23">
        <v>12</v>
      </c>
      <c r="M2" s="32">
        <v>13</v>
      </c>
      <c r="N2" s="23">
        <v>14</v>
      </c>
      <c r="O2" s="23">
        <v>20</v>
      </c>
      <c r="P2" s="32">
        <v>21</v>
      </c>
      <c r="Q2" s="23">
        <v>22</v>
      </c>
      <c r="R2" s="32">
        <v>23</v>
      </c>
      <c r="S2" s="23">
        <v>24</v>
      </c>
    </row>
    <row r="3" spans="1:20" ht="46.5" customHeight="1" x14ac:dyDescent="0.2">
      <c r="A3" s="543" t="s">
        <v>13</v>
      </c>
      <c r="B3" s="260" t="s">
        <v>14</v>
      </c>
      <c r="C3" s="261">
        <f>C4+C19+C22+C27+C28+C29+C30+C31</f>
        <v>26817431.25</v>
      </c>
      <c r="D3" s="296">
        <v>29152250.609999992</v>
      </c>
      <c r="E3" s="296">
        <v>6689665.6899999995</v>
      </c>
      <c r="F3" s="261">
        <f>F4+F19+F22+F27+F28+F29+F30+F31</f>
        <v>6901814.5599999996</v>
      </c>
      <c r="G3" s="262">
        <f>F3-E3</f>
        <v>212148.87000000011</v>
      </c>
      <c r="H3" s="263">
        <f>IFERROR(G3/ABS(E3), "-")</f>
        <v>3.17129255527865E-2</v>
      </c>
      <c r="I3" s="264"/>
      <c r="J3" s="296">
        <v>13464179.039999999</v>
      </c>
      <c r="K3" s="261">
        <f>K4+K19+K22+K27+K28+K29+K30+K31</f>
        <v>14363850.029999997</v>
      </c>
      <c r="L3" s="262">
        <f>K3-J3</f>
        <v>899670.98999999836</v>
      </c>
      <c r="M3" s="263">
        <f>IFERROR(L3/ABS(J3), "-")</f>
        <v>6.6819594965813703E-2</v>
      </c>
      <c r="N3" s="264"/>
      <c r="O3" s="261">
        <v>29152250.609999992</v>
      </c>
      <c r="P3" s="261">
        <f>P4+P19+P22+P27+P28+P29+P30+P31</f>
        <v>30122846.720000003</v>
      </c>
      <c r="Q3" s="262">
        <f>P3-O3</f>
        <v>970596.11000001058</v>
      </c>
      <c r="R3" s="263">
        <f>IFERROR(Q3/ABS(O3), "-")</f>
        <v>3.3294036984817581E-2</v>
      </c>
      <c r="S3" s="264"/>
    </row>
    <row r="4" spans="1:20" s="2" customFormat="1" ht="46.5" customHeight="1" x14ac:dyDescent="0.2">
      <c r="A4" s="544" t="s">
        <v>15</v>
      </c>
      <c r="B4" s="246" t="s">
        <v>16</v>
      </c>
      <c r="C4" s="237">
        <f>C5+C10+C13+C16</f>
        <v>23875829.210000001</v>
      </c>
      <c r="D4" s="297">
        <v>26263211.680000003</v>
      </c>
      <c r="E4" s="297">
        <v>5917018.8399999999</v>
      </c>
      <c r="F4" s="237">
        <f>F5+F10+F13+F16</f>
        <v>6125771.919999999</v>
      </c>
      <c r="G4" s="238">
        <f t="shared" ref="G4:G67" si="0">F4-E4</f>
        <v>208753.07999999914</v>
      </c>
      <c r="H4" s="239">
        <f t="shared" ref="H4:H67" si="1">IFERROR(G4/ABS(E4), "-")</f>
        <v>3.5280110752528744E-2</v>
      </c>
      <c r="I4" s="240"/>
      <c r="J4" s="297">
        <v>11986423.120000001</v>
      </c>
      <c r="K4" s="237">
        <f>K5+K10+K13+K16</f>
        <v>12888691.149999999</v>
      </c>
      <c r="L4" s="238">
        <f>K4-J4</f>
        <v>902268.02999999747</v>
      </c>
      <c r="M4" s="239">
        <f t="shared" ref="M4:M69" si="2">IFERROR(L4/ABS(J4), "-")</f>
        <v>7.5274168195724217E-2</v>
      </c>
      <c r="N4" s="240"/>
      <c r="O4" s="237">
        <v>26263211.680000003</v>
      </c>
      <c r="P4" s="237">
        <f>P5+P10+P13+P16</f>
        <v>27177977.59</v>
      </c>
      <c r="Q4" s="238">
        <f t="shared" ref="Q4:Q69" si="3">P4-O4</f>
        <v>914765.90999999642</v>
      </c>
      <c r="R4" s="239">
        <f t="shared" ref="R4:R69" si="4">IFERROR(Q4/ABS(O4), "-")</f>
        <v>3.4830694781195028E-2</v>
      </c>
      <c r="S4" s="240"/>
      <c r="T4" s="1"/>
    </row>
    <row r="5" spans="1:20" s="2" customFormat="1" ht="46.5" customHeight="1" x14ac:dyDescent="0.2">
      <c r="A5" s="545" t="s">
        <v>17</v>
      </c>
      <c r="B5" s="143" t="s">
        <v>18</v>
      </c>
      <c r="C5" s="140">
        <f t="shared" ref="C5" si="5">SUM(C6:C9)</f>
        <v>22781880.650000002</v>
      </c>
      <c r="D5" s="298">
        <v>24897434.82</v>
      </c>
      <c r="E5" s="298">
        <v>5588456.8200000003</v>
      </c>
      <c r="F5" s="140">
        <f>SUM(F6:F9)</f>
        <v>5800161.9699999997</v>
      </c>
      <c r="G5" s="141">
        <f t="shared" si="0"/>
        <v>211705.14999999944</v>
      </c>
      <c r="H5" s="142">
        <f t="shared" si="1"/>
        <v>3.7882577752475041E-2</v>
      </c>
      <c r="I5" s="711" t="s">
        <v>19</v>
      </c>
      <c r="J5" s="298">
        <v>11314871.82</v>
      </c>
      <c r="K5" s="140">
        <f>SUM(K6:K9)</f>
        <v>12151221.379999999</v>
      </c>
      <c r="L5" s="141">
        <f t="shared" ref="L5:L69" si="6">K5-J5</f>
        <v>836349.55999999866</v>
      </c>
      <c r="M5" s="142">
        <f t="shared" si="2"/>
        <v>7.3915955328957381E-2</v>
      </c>
      <c r="N5" s="717" t="s">
        <v>19</v>
      </c>
      <c r="O5" s="140">
        <v>24897434.82</v>
      </c>
      <c r="P5" s="140">
        <f>SUM(P6:P9)</f>
        <v>25683523.23</v>
      </c>
      <c r="Q5" s="141">
        <f t="shared" si="3"/>
        <v>786088.41000000015</v>
      </c>
      <c r="R5" s="142">
        <f t="shared" si="4"/>
        <v>3.157306829732269E-2</v>
      </c>
      <c r="S5" s="704"/>
      <c r="T5" s="1"/>
    </row>
    <row r="6" spans="1:20" ht="46.5" customHeight="1" x14ac:dyDescent="0.2">
      <c r="A6" s="243" t="s">
        <v>20</v>
      </c>
      <c r="B6" s="52" t="s">
        <v>21</v>
      </c>
      <c r="C6" s="111">
        <v>21045288.420000002</v>
      </c>
      <c r="D6" s="299">
        <v>23205715.82</v>
      </c>
      <c r="E6" s="299">
        <v>5193726.82</v>
      </c>
      <c r="F6" s="111">
        <v>5374642.8700000001</v>
      </c>
      <c r="G6" s="112">
        <f>F6-E6</f>
        <v>180916.04999999981</v>
      </c>
      <c r="H6" s="113">
        <f>IFERROR(G6/ABS(E6), "-")</f>
        <v>3.483357062665067E-2</v>
      </c>
      <c r="I6" s="712"/>
      <c r="J6" s="299">
        <v>10521459.82</v>
      </c>
      <c r="K6" s="111">
        <v>11308424.51</v>
      </c>
      <c r="L6" s="112">
        <f t="shared" si="6"/>
        <v>786964.68999999948</v>
      </c>
      <c r="M6" s="113">
        <f t="shared" si="2"/>
        <v>7.4796150293144348E-2</v>
      </c>
      <c r="N6" s="718"/>
      <c r="O6" s="111">
        <v>23205715.82</v>
      </c>
      <c r="P6" s="111">
        <f>23934851.96-17572</f>
        <v>23917279.960000001</v>
      </c>
      <c r="Q6" s="112">
        <f t="shared" si="3"/>
        <v>711564.1400000006</v>
      </c>
      <c r="R6" s="113">
        <f t="shared" si="4"/>
        <v>3.0663313535311602E-2</v>
      </c>
      <c r="S6" s="705"/>
    </row>
    <row r="7" spans="1:20" ht="46.5" customHeight="1" x14ac:dyDescent="0.2">
      <c r="A7" s="243" t="s">
        <v>22</v>
      </c>
      <c r="B7" s="52" t="s">
        <v>23</v>
      </c>
      <c r="C7" s="111">
        <v>161798</v>
      </c>
      <c r="D7" s="299">
        <v>154426</v>
      </c>
      <c r="E7" s="299">
        <v>37903</v>
      </c>
      <c r="F7" s="111">
        <v>37941</v>
      </c>
      <c r="G7" s="112">
        <f t="shared" si="0"/>
        <v>38</v>
      </c>
      <c r="H7" s="113">
        <f t="shared" si="1"/>
        <v>1.0025591641822547E-3</v>
      </c>
      <c r="I7" s="712"/>
      <c r="J7" s="299">
        <v>70977</v>
      </c>
      <c r="K7" s="111">
        <v>65235</v>
      </c>
      <c r="L7" s="112">
        <f t="shared" si="6"/>
        <v>-5742</v>
      </c>
      <c r="M7" s="113">
        <f t="shared" si="2"/>
        <v>-8.0899446299505476E-2</v>
      </c>
      <c r="N7" s="718"/>
      <c r="O7" s="111">
        <v>154426</v>
      </c>
      <c r="P7" s="111">
        <f>129546+17572</f>
        <v>147118</v>
      </c>
      <c r="Q7" s="112">
        <f t="shared" si="3"/>
        <v>-7308</v>
      </c>
      <c r="R7" s="113">
        <f t="shared" si="4"/>
        <v>-4.7323637211350418E-2</v>
      </c>
      <c r="S7" s="705"/>
    </row>
    <row r="8" spans="1:20" ht="46.5" customHeight="1" x14ac:dyDescent="0.2">
      <c r="A8" s="243" t="s">
        <v>24</v>
      </c>
      <c r="B8" s="52" t="s">
        <v>25</v>
      </c>
      <c r="C8" s="111">
        <v>1530276.23</v>
      </c>
      <c r="D8" s="299">
        <v>1495434</v>
      </c>
      <c r="E8" s="299">
        <v>350194</v>
      </c>
      <c r="F8" s="111">
        <v>377662.1</v>
      </c>
      <c r="G8" s="112">
        <f t="shared" si="0"/>
        <v>27468.099999999977</v>
      </c>
      <c r="H8" s="113">
        <f t="shared" si="1"/>
        <v>7.8436809311410186E-2</v>
      </c>
      <c r="I8" s="712"/>
      <c r="J8" s="299">
        <v>704239</v>
      </c>
      <c r="K8" s="111">
        <v>755983.87</v>
      </c>
      <c r="L8" s="112">
        <f t="shared" si="6"/>
        <v>51744.869999999995</v>
      </c>
      <c r="M8" s="113">
        <f t="shared" si="2"/>
        <v>7.3476291429472096E-2</v>
      </c>
      <c r="N8" s="718"/>
      <c r="O8" s="111">
        <v>1495434</v>
      </c>
      <c r="P8" s="111">
        <v>1574611.27</v>
      </c>
      <c r="Q8" s="112">
        <f t="shared" si="3"/>
        <v>79177.270000000019</v>
      </c>
      <c r="R8" s="113">
        <f t="shared" si="4"/>
        <v>5.2946014334300288E-2</v>
      </c>
      <c r="S8" s="705"/>
    </row>
    <row r="9" spans="1:20" ht="46.5" customHeight="1" x14ac:dyDescent="0.2">
      <c r="A9" s="243" t="s">
        <v>26</v>
      </c>
      <c r="B9" s="52" t="s">
        <v>27</v>
      </c>
      <c r="C9" s="111">
        <v>44518</v>
      </c>
      <c r="D9" s="299">
        <v>41859</v>
      </c>
      <c r="E9" s="299">
        <v>6633</v>
      </c>
      <c r="F9" s="111">
        <v>9916</v>
      </c>
      <c r="G9" s="112">
        <f t="shared" si="0"/>
        <v>3283</v>
      </c>
      <c r="H9" s="113">
        <f t="shared" si="1"/>
        <v>0.49494949494949497</v>
      </c>
      <c r="I9" s="713"/>
      <c r="J9" s="299">
        <v>18196</v>
      </c>
      <c r="K9" s="111">
        <v>21578</v>
      </c>
      <c r="L9" s="112">
        <f t="shared" si="6"/>
        <v>3382</v>
      </c>
      <c r="M9" s="113">
        <f t="shared" si="2"/>
        <v>0.18586502528028137</v>
      </c>
      <c r="N9" s="719"/>
      <c r="O9" s="111">
        <v>41859</v>
      </c>
      <c r="P9" s="111">
        <v>44514</v>
      </c>
      <c r="Q9" s="112">
        <f t="shared" si="3"/>
        <v>2655</v>
      </c>
      <c r="R9" s="113">
        <f t="shared" si="4"/>
        <v>6.3427219952698344E-2</v>
      </c>
      <c r="S9" s="706"/>
    </row>
    <row r="10" spans="1:20" ht="46.5" customHeight="1" x14ac:dyDescent="0.2">
      <c r="A10" s="545" t="s">
        <v>28</v>
      </c>
      <c r="B10" s="143" t="s">
        <v>29</v>
      </c>
      <c r="C10" s="140">
        <f t="shared" ref="C10" si="7">SUM(C11:C12)</f>
        <v>0</v>
      </c>
      <c r="D10" s="298">
        <v>0</v>
      </c>
      <c r="E10" s="298">
        <v>0</v>
      </c>
      <c r="F10" s="140">
        <f t="shared" ref="F10" si="8">SUM(F11:F12)</f>
        <v>0</v>
      </c>
      <c r="G10" s="141">
        <f t="shared" si="0"/>
        <v>0</v>
      </c>
      <c r="H10" s="142" t="str">
        <f t="shared" si="1"/>
        <v>-</v>
      </c>
      <c r="I10" s="704"/>
      <c r="J10" s="298">
        <v>0</v>
      </c>
      <c r="K10" s="140">
        <f t="shared" ref="K10" si="9">SUM(K11:K12)</f>
        <v>0</v>
      </c>
      <c r="L10" s="141">
        <f t="shared" si="6"/>
        <v>0</v>
      </c>
      <c r="M10" s="142" t="str">
        <f t="shared" si="2"/>
        <v>-</v>
      </c>
      <c r="N10" s="704"/>
      <c r="O10" s="140">
        <v>0</v>
      </c>
      <c r="P10" s="140">
        <f t="shared" ref="P10" si="10">SUM(P11:P12)</f>
        <v>0</v>
      </c>
      <c r="Q10" s="141">
        <f t="shared" si="3"/>
        <v>0</v>
      </c>
      <c r="R10" s="142" t="str">
        <f t="shared" si="4"/>
        <v>-</v>
      </c>
      <c r="S10" s="704"/>
    </row>
    <row r="11" spans="1:20" ht="46.5" customHeight="1" x14ac:dyDescent="0.2">
      <c r="A11" s="243" t="s">
        <v>30</v>
      </c>
      <c r="B11" s="52" t="s">
        <v>31</v>
      </c>
      <c r="C11" s="111"/>
      <c r="D11" s="299">
        <v>0</v>
      </c>
      <c r="E11" s="299">
        <v>0</v>
      </c>
      <c r="F11" s="111"/>
      <c r="G11" s="112">
        <f t="shared" si="0"/>
        <v>0</v>
      </c>
      <c r="H11" s="113" t="str">
        <f t="shared" si="1"/>
        <v>-</v>
      </c>
      <c r="I11" s="705"/>
      <c r="J11" s="299">
        <v>0</v>
      </c>
      <c r="K11" s="111"/>
      <c r="L11" s="112">
        <f t="shared" si="6"/>
        <v>0</v>
      </c>
      <c r="M11" s="113" t="str">
        <f t="shared" si="2"/>
        <v>-</v>
      </c>
      <c r="N11" s="705"/>
      <c r="O11" s="111">
        <v>0</v>
      </c>
      <c r="P11" s="111"/>
      <c r="Q11" s="112">
        <f t="shared" si="3"/>
        <v>0</v>
      </c>
      <c r="R11" s="113" t="str">
        <f t="shared" si="4"/>
        <v>-</v>
      </c>
      <c r="S11" s="705"/>
    </row>
    <row r="12" spans="1:20" ht="46.5" customHeight="1" x14ac:dyDescent="0.2">
      <c r="A12" s="243" t="s">
        <v>32</v>
      </c>
      <c r="B12" s="52" t="s">
        <v>33</v>
      </c>
      <c r="C12" s="111"/>
      <c r="D12" s="299">
        <v>0</v>
      </c>
      <c r="E12" s="299">
        <v>0</v>
      </c>
      <c r="F12" s="111"/>
      <c r="G12" s="112">
        <f t="shared" si="0"/>
        <v>0</v>
      </c>
      <c r="H12" s="113" t="str">
        <f t="shared" si="1"/>
        <v>-</v>
      </c>
      <c r="I12" s="706"/>
      <c r="J12" s="299">
        <v>0</v>
      </c>
      <c r="K12" s="111"/>
      <c r="L12" s="112">
        <f t="shared" si="6"/>
        <v>0</v>
      </c>
      <c r="M12" s="113" t="str">
        <f t="shared" si="2"/>
        <v>-</v>
      </c>
      <c r="N12" s="706"/>
      <c r="O12" s="111">
        <v>0</v>
      </c>
      <c r="P12" s="111"/>
      <c r="Q12" s="112">
        <f t="shared" si="3"/>
        <v>0</v>
      </c>
      <c r="R12" s="113" t="str">
        <f t="shared" si="4"/>
        <v>-</v>
      </c>
      <c r="S12" s="706"/>
    </row>
    <row r="13" spans="1:20" ht="46.5" customHeight="1" x14ac:dyDescent="0.2">
      <c r="A13" s="545" t="s">
        <v>34</v>
      </c>
      <c r="B13" s="143" t="s">
        <v>35</v>
      </c>
      <c r="C13" s="140">
        <f t="shared" ref="C13" si="11">SUM(C14:C15)</f>
        <v>991555.56</v>
      </c>
      <c r="D13" s="298">
        <v>1263384.4800000002</v>
      </c>
      <c r="E13" s="298">
        <v>305976.91000000003</v>
      </c>
      <c r="F13" s="140">
        <f>SUM(F14:F15)</f>
        <v>303684.98</v>
      </c>
      <c r="G13" s="141">
        <f t="shared" si="0"/>
        <v>-2291.9300000000512</v>
      </c>
      <c r="H13" s="142">
        <f t="shared" si="1"/>
        <v>-7.4905325372429275E-3</v>
      </c>
      <c r="I13" s="704"/>
      <c r="J13" s="298">
        <v>622063.9800000001</v>
      </c>
      <c r="K13" s="140">
        <f>SUM(K14:K15)</f>
        <v>682535.1</v>
      </c>
      <c r="L13" s="141">
        <f t="shared" si="6"/>
        <v>60471.119999999879</v>
      </c>
      <c r="M13" s="142">
        <f t="shared" si="2"/>
        <v>9.7210450924999497E-2</v>
      </c>
      <c r="N13" s="704"/>
      <c r="O13" s="140">
        <v>1263384.4800000002</v>
      </c>
      <c r="P13" s="140">
        <f>SUM(P14:P15)</f>
        <v>1391813.41</v>
      </c>
      <c r="Q13" s="141">
        <f t="shared" si="3"/>
        <v>128428.9299999997</v>
      </c>
      <c r="R13" s="142">
        <f t="shared" si="4"/>
        <v>0.10165466810230223</v>
      </c>
      <c r="S13" s="704"/>
    </row>
    <row r="14" spans="1:20" ht="46.5" customHeight="1" x14ac:dyDescent="0.2">
      <c r="A14" s="243" t="s">
        <v>36</v>
      </c>
      <c r="B14" s="52" t="s">
        <v>37</v>
      </c>
      <c r="C14" s="111">
        <f>2034.8+987919.09+1601.67</f>
        <v>991555.56</v>
      </c>
      <c r="D14" s="299">
        <v>1263384.4800000002</v>
      </c>
      <c r="E14" s="299">
        <v>305976.91000000003</v>
      </c>
      <c r="F14" s="111">
        <f>303684.98</f>
        <v>303684.98</v>
      </c>
      <c r="G14" s="112">
        <f t="shared" si="0"/>
        <v>-2291.9300000000512</v>
      </c>
      <c r="H14" s="113">
        <f t="shared" si="1"/>
        <v>-7.4905325372429275E-3</v>
      </c>
      <c r="I14" s="705"/>
      <c r="J14" s="299">
        <v>622063.9800000001</v>
      </c>
      <c r="K14" s="111">
        <f>680241.62+2293.48</f>
        <v>682535.1</v>
      </c>
      <c r="L14" s="112">
        <f t="shared" si="6"/>
        <v>60471.119999999879</v>
      </c>
      <c r="M14" s="113">
        <f t="shared" si="2"/>
        <v>9.7210450924999497E-2</v>
      </c>
      <c r="N14" s="705"/>
      <c r="O14" s="111">
        <v>1263384.4800000002</v>
      </c>
      <c r="P14" s="111">
        <v>1391813.41</v>
      </c>
      <c r="Q14" s="112">
        <f t="shared" si="3"/>
        <v>128428.9299999997</v>
      </c>
      <c r="R14" s="113">
        <f t="shared" si="4"/>
        <v>0.10165466810230223</v>
      </c>
      <c r="S14" s="705"/>
    </row>
    <row r="15" spans="1:20" ht="46.5" customHeight="1" x14ac:dyDescent="0.2">
      <c r="A15" s="243" t="s">
        <v>38</v>
      </c>
      <c r="B15" s="52" t="s">
        <v>39</v>
      </c>
      <c r="C15" s="111"/>
      <c r="D15" s="299">
        <v>0</v>
      </c>
      <c r="E15" s="299">
        <v>0</v>
      </c>
      <c r="F15" s="111"/>
      <c r="G15" s="112">
        <f t="shared" si="0"/>
        <v>0</v>
      </c>
      <c r="H15" s="113" t="str">
        <f t="shared" si="1"/>
        <v>-</v>
      </c>
      <c r="I15" s="706"/>
      <c r="J15" s="299">
        <v>0</v>
      </c>
      <c r="K15" s="111"/>
      <c r="L15" s="112">
        <f t="shared" si="6"/>
        <v>0</v>
      </c>
      <c r="M15" s="113" t="str">
        <f t="shared" si="2"/>
        <v>-</v>
      </c>
      <c r="N15" s="706"/>
      <c r="O15" s="111">
        <v>0</v>
      </c>
      <c r="P15" s="111"/>
      <c r="Q15" s="112">
        <f t="shared" si="3"/>
        <v>0</v>
      </c>
      <c r="R15" s="113" t="str">
        <f t="shared" si="4"/>
        <v>-</v>
      </c>
      <c r="S15" s="706"/>
    </row>
    <row r="16" spans="1:20" ht="46.5" customHeight="1" x14ac:dyDescent="0.2">
      <c r="A16" s="545" t="s">
        <v>40</v>
      </c>
      <c r="B16" s="143" t="s">
        <v>41</v>
      </c>
      <c r="C16" s="140">
        <f>SUM(C17:C18)</f>
        <v>102393</v>
      </c>
      <c r="D16" s="298">
        <v>102392.37999999999</v>
      </c>
      <c r="E16" s="298">
        <v>22585.11</v>
      </c>
      <c r="F16" s="298">
        <f>F17</f>
        <v>21924.97</v>
      </c>
      <c r="G16" s="141">
        <f t="shared" si="0"/>
        <v>-660.13999999999942</v>
      </c>
      <c r="H16" s="142">
        <f>IFERROR(G16/ABS(E16), "-")</f>
        <v>-2.9228992021734648E-2</v>
      </c>
      <c r="I16" s="704"/>
      <c r="J16" s="298">
        <v>49487.32</v>
      </c>
      <c r="K16" s="298">
        <f>K17</f>
        <v>54934.67</v>
      </c>
      <c r="L16" s="141">
        <f t="shared" si="6"/>
        <v>5447.3499999999985</v>
      </c>
      <c r="M16" s="142">
        <f t="shared" si="2"/>
        <v>0.11007567190949114</v>
      </c>
      <c r="N16" s="704"/>
      <c r="O16" s="140">
        <v>102392.37999999999</v>
      </c>
      <c r="P16" s="140">
        <f>P17</f>
        <v>102640.95</v>
      </c>
      <c r="Q16" s="141">
        <f t="shared" si="3"/>
        <v>248.57000000000698</v>
      </c>
      <c r="R16" s="142">
        <f t="shared" si="4"/>
        <v>2.4276220554694306E-3</v>
      </c>
      <c r="S16" s="704"/>
    </row>
    <row r="17" spans="1:20" ht="46.5" customHeight="1" x14ac:dyDescent="0.2">
      <c r="A17" s="243" t="s">
        <v>42</v>
      </c>
      <c r="B17" s="114" t="s">
        <v>43</v>
      </c>
      <c r="C17" s="111">
        <v>102393</v>
      </c>
      <c r="D17" s="299">
        <v>102392.37999999999</v>
      </c>
      <c r="E17" s="299">
        <v>22585.11</v>
      </c>
      <c r="F17" s="111">
        <f>21924.97</f>
        <v>21924.97</v>
      </c>
      <c r="G17" s="112">
        <f t="shared" si="0"/>
        <v>-660.13999999999942</v>
      </c>
      <c r="H17" s="113">
        <f t="shared" si="1"/>
        <v>-2.9228992021734648E-2</v>
      </c>
      <c r="I17" s="705"/>
      <c r="J17" s="299">
        <v>49487.32</v>
      </c>
      <c r="K17" s="111">
        <f>49872.27+5062.4</f>
        <v>54934.67</v>
      </c>
      <c r="L17" s="112">
        <f t="shared" si="6"/>
        <v>5447.3499999999985</v>
      </c>
      <c r="M17" s="113">
        <f t="shared" si="2"/>
        <v>0.11007567190949114</v>
      </c>
      <c r="N17" s="705"/>
      <c r="O17" s="111">
        <v>102392.37999999999</v>
      </c>
      <c r="P17" s="111">
        <v>102640.95</v>
      </c>
      <c r="Q17" s="112">
        <f t="shared" si="3"/>
        <v>248.57000000000698</v>
      </c>
      <c r="R17" s="113">
        <f t="shared" si="4"/>
        <v>2.4276220554694306E-3</v>
      </c>
      <c r="S17" s="705"/>
    </row>
    <row r="18" spans="1:20" ht="46.5" customHeight="1" x14ac:dyDescent="0.2">
      <c r="A18" s="243" t="s">
        <v>44</v>
      </c>
      <c r="B18" s="52" t="s">
        <v>45</v>
      </c>
      <c r="C18" s="111"/>
      <c r="D18" s="299">
        <v>0</v>
      </c>
      <c r="E18" s="300">
        <v>0</v>
      </c>
      <c r="F18" s="111"/>
      <c r="G18" s="112">
        <f t="shared" si="0"/>
        <v>0</v>
      </c>
      <c r="H18" s="113" t="str">
        <f t="shared" si="1"/>
        <v>-</v>
      </c>
      <c r="I18" s="705"/>
      <c r="J18" s="299">
        <v>0</v>
      </c>
      <c r="K18" s="111"/>
      <c r="L18" s="112">
        <f t="shared" si="6"/>
        <v>0</v>
      </c>
      <c r="M18" s="113" t="str">
        <f t="shared" si="2"/>
        <v>-</v>
      </c>
      <c r="N18" s="705"/>
      <c r="O18" s="115">
        <v>0</v>
      </c>
      <c r="P18" s="111"/>
      <c r="Q18" s="112">
        <f t="shared" si="3"/>
        <v>0</v>
      </c>
      <c r="R18" s="113" t="str">
        <f t="shared" si="4"/>
        <v>-</v>
      </c>
      <c r="S18" s="705"/>
    </row>
    <row r="19" spans="1:20" s="2" customFormat="1" ht="46.5" customHeight="1" x14ac:dyDescent="0.2">
      <c r="A19" s="545" t="s">
        <v>46</v>
      </c>
      <c r="B19" s="143" t="s">
        <v>47</v>
      </c>
      <c r="C19" s="140">
        <f t="shared" ref="C19" si="12">SUM(C20:C21)</f>
        <v>0</v>
      </c>
      <c r="D19" s="298">
        <v>0</v>
      </c>
      <c r="E19" s="298">
        <v>0</v>
      </c>
      <c r="F19" s="140">
        <f t="shared" ref="F19" si="13">SUM(F20:F21)</f>
        <v>0</v>
      </c>
      <c r="G19" s="141">
        <f t="shared" si="0"/>
        <v>0</v>
      </c>
      <c r="H19" s="142" t="str">
        <f t="shared" si="1"/>
        <v>-</v>
      </c>
      <c r="I19" s="704"/>
      <c r="J19" s="298">
        <v>0</v>
      </c>
      <c r="K19" s="140">
        <f t="shared" ref="K19" si="14">SUM(K20:K21)</f>
        <v>0</v>
      </c>
      <c r="L19" s="141">
        <f t="shared" si="6"/>
        <v>0</v>
      </c>
      <c r="M19" s="142" t="str">
        <f t="shared" si="2"/>
        <v>-</v>
      </c>
      <c r="N19" s="704"/>
      <c r="O19" s="140">
        <v>0</v>
      </c>
      <c r="P19" s="140">
        <f t="shared" ref="P19" si="15">SUM(P20:P21)</f>
        <v>0</v>
      </c>
      <c r="Q19" s="141">
        <f t="shared" si="3"/>
        <v>0</v>
      </c>
      <c r="R19" s="142" t="str">
        <f t="shared" si="4"/>
        <v>-</v>
      </c>
      <c r="S19" s="704"/>
      <c r="T19" s="1"/>
    </row>
    <row r="20" spans="1:20" ht="46.5" customHeight="1" x14ac:dyDescent="0.2">
      <c r="A20" s="243" t="s">
        <v>48</v>
      </c>
      <c r="B20" s="52" t="s">
        <v>49</v>
      </c>
      <c r="C20" s="111"/>
      <c r="D20" s="299">
        <v>0</v>
      </c>
      <c r="E20" s="299">
        <v>0</v>
      </c>
      <c r="F20" s="111"/>
      <c r="G20" s="112">
        <f t="shared" si="0"/>
        <v>0</v>
      </c>
      <c r="H20" s="113" t="str">
        <f t="shared" si="1"/>
        <v>-</v>
      </c>
      <c r="I20" s="705"/>
      <c r="J20" s="299">
        <v>0</v>
      </c>
      <c r="K20" s="111"/>
      <c r="L20" s="112">
        <f t="shared" si="6"/>
        <v>0</v>
      </c>
      <c r="M20" s="113" t="str">
        <f t="shared" si="2"/>
        <v>-</v>
      </c>
      <c r="N20" s="705"/>
      <c r="O20" s="111">
        <v>0</v>
      </c>
      <c r="P20" s="111"/>
      <c r="Q20" s="112">
        <f t="shared" si="3"/>
        <v>0</v>
      </c>
      <c r="R20" s="113" t="str">
        <f t="shared" si="4"/>
        <v>-</v>
      </c>
      <c r="S20" s="705"/>
    </row>
    <row r="21" spans="1:20" ht="46.5" customHeight="1" x14ac:dyDescent="0.2">
      <c r="A21" s="243" t="s">
        <v>50</v>
      </c>
      <c r="B21" s="52" t="s">
        <v>51</v>
      </c>
      <c r="C21" s="111"/>
      <c r="D21" s="299">
        <v>0</v>
      </c>
      <c r="E21" s="299">
        <v>0</v>
      </c>
      <c r="F21" s="111"/>
      <c r="G21" s="112">
        <f t="shared" si="0"/>
        <v>0</v>
      </c>
      <c r="H21" s="113" t="str">
        <f t="shared" si="1"/>
        <v>-</v>
      </c>
      <c r="I21" s="706"/>
      <c r="J21" s="299">
        <v>0</v>
      </c>
      <c r="K21" s="111"/>
      <c r="L21" s="112">
        <f t="shared" si="6"/>
        <v>0</v>
      </c>
      <c r="M21" s="113" t="str">
        <f t="shared" si="2"/>
        <v>-</v>
      </c>
      <c r="N21" s="706"/>
      <c r="O21" s="111">
        <v>0</v>
      </c>
      <c r="P21" s="111"/>
      <c r="Q21" s="112">
        <f t="shared" si="3"/>
        <v>0</v>
      </c>
      <c r="R21" s="113" t="str">
        <f t="shared" si="4"/>
        <v>-</v>
      </c>
      <c r="S21" s="706"/>
    </row>
    <row r="22" spans="1:20" s="2" customFormat="1" ht="46.5" customHeight="1" x14ac:dyDescent="0.2">
      <c r="A22" s="545" t="s">
        <v>52</v>
      </c>
      <c r="B22" s="143" t="s">
        <v>53</v>
      </c>
      <c r="C22" s="140">
        <f t="shared" ref="C22" si="16">SUM(C23:C26)</f>
        <v>1828202.5399999998</v>
      </c>
      <c r="D22" s="298">
        <v>1772777.44</v>
      </c>
      <c r="E22" s="298">
        <v>487984.51</v>
      </c>
      <c r="F22" s="140">
        <f>SUM(F23:F26)</f>
        <v>495467.11</v>
      </c>
      <c r="G22" s="141">
        <f t="shared" si="0"/>
        <v>7482.5999999999767</v>
      </c>
      <c r="H22" s="142">
        <f t="shared" si="1"/>
        <v>1.533368344007472E-2</v>
      </c>
      <c r="I22" s="711" t="s">
        <v>54</v>
      </c>
      <c r="J22" s="298">
        <v>932419.12</v>
      </c>
      <c r="K22" s="140">
        <f>SUM(K23:K26)</f>
        <v>896941.54</v>
      </c>
      <c r="L22" s="141">
        <f t="shared" si="6"/>
        <v>-35477.579999999958</v>
      </c>
      <c r="M22" s="142">
        <f t="shared" si="2"/>
        <v>-3.8048962359330384E-2</v>
      </c>
      <c r="N22" s="711" t="s">
        <v>55</v>
      </c>
      <c r="O22" s="140">
        <v>1772777.44</v>
      </c>
      <c r="P22" s="140">
        <f>SUM(P23:P26)</f>
        <v>1775375.69</v>
      </c>
      <c r="Q22" s="141">
        <f t="shared" si="3"/>
        <v>2598.25</v>
      </c>
      <c r="R22" s="142">
        <f t="shared" si="4"/>
        <v>1.4656380103754028E-3</v>
      </c>
      <c r="S22" s="704"/>
      <c r="T22" s="1"/>
    </row>
    <row r="23" spans="1:20" ht="46.5" customHeight="1" x14ac:dyDescent="0.2">
      <c r="A23" s="243" t="s">
        <v>56</v>
      </c>
      <c r="B23" s="52" t="s">
        <v>57</v>
      </c>
      <c r="C23" s="111">
        <f>7.51+1563818.64</f>
        <v>1563826.15</v>
      </c>
      <c r="D23" s="299">
        <v>1508400.5</v>
      </c>
      <c r="E23" s="299">
        <v>409784.78</v>
      </c>
      <c r="F23" s="111">
        <f>400277.31</f>
        <v>400277.31</v>
      </c>
      <c r="G23" s="112">
        <f t="shared" si="0"/>
        <v>-9507.4700000000303</v>
      </c>
      <c r="H23" s="113">
        <f t="shared" si="1"/>
        <v>-2.3201130115179068E-2</v>
      </c>
      <c r="I23" s="712"/>
      <c r="J23" s="299">
        <v>797186.16</v>
      </c>
      <c r="K23" s="111">
        <v>748522.26</v>
      </c>
      <c r="L23" s="112">
        <f t="shared" si="6"/>
        <v>-48663.900000000023</v>
      </c>
      <c r="M23" s="113">
        <f t="shared" si="2"/>
        <v>-6.1044587126299357E-2</v>
      </c>
      <c r="N23" s="712"/>
      <c r="O23" s="111">
        <v>1508400.5</v>
      </c>
      <c r="P23" s="111">
        <v>1485663.45</v>
      </c>
      <c r="Q23" s="112">
        <f t="shared" si="3"/>
        <v>-22737.050000000047</v>
      </c>
      <c r="R23" s="113">
        <f t="shared" si="4"/>
        <v>-1.5073616058865034E-2</v>
      </c>
      <c r="S23" s="705"/>
    </row>
    <row r="24" spans="1:20" ht="46.5" customHeight="1" x14ac:dyDescent="0.2">
      <c r="A24" s="243" t="s">
        <v>58</v>
      </c>
      <c r="B24" s="52" t="s">
        <v>59</v>
      </c>
      <c r="C24" s="111"/>
      <c r="D24" s="299">
        <v>0</v>
      </c>
      <c r="E24" s="299">
        <v>0</v>
      </c>
      <c r="F24" s="111"/>
      <c r="G24" s="112">
        <f t="shared" si="0"/>
        <v>0</v>
      </c>
      <c r="H24" s="113" t="str">
        <f t="shared" si="1"/>
        <v>-</v>
      </c>
      <c r="I24" s="712"/>
      <c r="J24" s="299">
        <v>0</v>
      </c>
      <c r="K24" s="111"/>
      <c r="L24" s="112">
        <f t="shared" si="6"/>
        <v>0</v>
      </c>
      <c r="M24" s="113" t="str">
        <f t="shared" si="2"/>
        <v>-</v>
      </c>
      <c r="N24" s="712"/>
      <c r="O24" s="111">
        <v>0</v>
      </c>
      <c r="P24" s="111"/>
      <c r="Q24" s="112">
        <f t="shared" si="3"/>
        <v>0</v>
      </c>
      <c r="R24" s="113" t="str">
        <f t="shared" si="4"/>
        <v>-</v>
      </c>
      <c r="S24" s="705"/>
    </row>
    <row r="25" spans="1:20" ht="46.5" customHeight="1" x14ac:dyDescent="0.2">
      <c r="A25" s="243" t="s">
        <v>60</v>
      </c>
      <c r="B25" s="52" t="s">
        <v>61</v>
      </c>
      <c r="C25" s="111">
        <v>63658.38</v>
      </c>
      <c r="D25" s="299">
        <v>63658.67</v>
      </c>
      <c r="E25" s="299">
        <v>15905.43</v>
      </c>
      <c r="F25" s="111">
        <f>14829.81+16480.69</f>
        <v>31310.5</v>
      </c>
      <c r="G25" s="112">
        <f t="shared" si="0"/>
        <v>15405.07</v>
      </c>
      <c r="H25" s="113">
        <f t="shared" si="1"/>
        <v>0.96854156096377142</v>
      </c>
      <c r="I25" s="712"/>
      <c r="J25" s="299">
        <v>31182.799999999999</v>
      </c>
      <c r="K25" s="111">
        <v>32128.43</v>
      </c>
      <c r="L25" s="112">
        <f t="shared" si="6"/>
        <v>945.63000000000102</v>
      </c>
      <c r="M25" s="113">
        <f t="shared" si="2"/>
        <v>3.0325371679259111E-2</v>
      </c>
      <c r="N25" s="712"/>
      <c r="O25" s="111">
        <v>63658.67</v>
      </c>
      <c r="P25" s="111">
        <v>62028.83</v>
      </c>
      <c r="Q25" s="112">
        <f t="shared" si="3"/>
        <v>-1629.8399999999965</v>
      </c>
      <c r="R25" s="113">
        <f t="shared" si="4"/>
        <v>-2.5602796916743574E-2</v>
      </c>
      <c r="S25" s="705"/>
    </row>
    <row r="26" spans="1:20" ht="46.5" customHeight="1" x14ac:dyDescent="0.2">
      <c r="A26" s="243" t="s">
        <v>62</v>
      </c>
      <c r="B26" s="52" t="s">
        <v>63</v>
      </c>
      <c r="C26" s="111">
        <v>200718.01</v>
      </c>
      <c r="D26" s="299">
        <v>200718.27000000002</v>
      </c>
      <c r="E26" s="299">
        <v>62294.3</v>
      </c>
      <c r="F26" s="111">
        <f>63879.3</f>
        <v>63879.3</v>
      </c>
      <c r="G26" s="112">
        <f t="shared" si="0"/>
        <v>1585</v>
      </c>
      <c r="H26" s="113">
        <f t="shared" si="1"/>
        <v>2.5443740438531294E-2</v>
      </c>
      <c r="I26" s="713"/>
      <c r="J26" s="299">
        <v>104050.16</v>
      </c>
      <c r="K26" s="111">
        <v>116290.85</v>
      </c>
      <c r="L26" s="112">
        <f t="shared" si="6"/>
        <v>12240.690000000002</v>
      </c>
      <c r="M26" s="113">
        <f t="shared" si="2"/>
        <v>0.11764220256845354</v>
      </c>
      <c r="N26" s="713"/>
      <c r="O26" s="111">
        <v>200718.27000000002</v>
      </c>
      <c r="P26" s="111">
        <v>227683.41</v>
      </c>
      <c r="Q26" s="112">
        <f t="shared" si="3"/>
        <v>26965.139999999985</v>
      </c>
      <c r="R26" s="113">
        <f t="shared" si="4"/>
        <v>0.1343432264536755</v>
      </c>
      <c r="S26" s="706"/>
    </row>
    <row r="27" spans="1:20" ht="46.5" customHeight="1" x14ac:dyDescent="0.2">
      <c r="A27" s="546" t="s">
        <v>64</v>
      </c>
      <c r="B27" s="116" t="s">
        <v>65</v>
      </c>
      <c r="C27" s="117">
        <v>306982.46000000002</v>
      </c>
      <c r="D27" s="301">
        <v>306982.45999999996</v>
      </c>
      <c r="E27" s="301">
        <v>83084</v>
      </c>
      <c r="F27" s="117">
        <v>81008</v>
      </c>
      <c r="G27" s="118">
        <f t="shared" si="0"/>
        <v>-2076</v>
      </c>
      <c r="H27" s="119">
        <f t="shared" si="1"/>
        <v>-2.4986760387078137E-2</v>
      </c>
      <c r="I27" s="120"/>
      <c r="J27" s="301">
        <v>150036</v>
      </c>
      <c r="K27" s="117">
        <v>151659</v>
      </c>
      <c r="L27" s="118">
        <f t="shared" si="6"/>
        <v>1623</v>
      </c>
      <c r="M27" s="119">
        <f t="shared" si="2"/>
        <v>1.081740382308246E-2</v>
      </c>
      <c r="N27" s="120"/>
      <c r="O27" s="117">
        <v>306982.45999999996</v>
      </c>
      <c r="P27" s="117">
        <v>296273</v>
      </c>
      <c r="Q27" s="118">
        <f t="shared" si="3"/>
        <v>-10709.459999999963</v>
      </c>
      <c r="R27" s="119">
        <f t="shared" si="4"/>
        <v>-3.4886227701738937E-2</v>
      </c>
      <c r="S27" s="120"/>
    </row>
    <row r="28" spans="1:20" ht="46.5" customHeight="1" x14ac:dyDescent="0.2">
      <c r="A28" s="546" t="s">
        <v>66</v>
      </c>
      <c r="B28" s="116" t="s">
        <v>67</v>
      </c>
      <c r="C28" s="117">
        <v>323426.25</v>
      </c>
      <c r="D28" s="301">
        <v>323419.62</v>
      </c>
      <c r="E28" s="301">
        <v>81966.38</v>
      </c>
      <c r="F28" s="117">
        <v>83626.69</v>
      </c>
      <c r="G28" s="118">
        <f t="shared" si="0"/>
        <v>1660.3099999999977</v>
      </c>
      <c r="H28" s="119">
        <f t="shared" si="1"/>
        <v>2.0255987881860803E-2</v>
      </c>
      <c r="I28" s="120"/>
      <c r="J28" s="301">
        <v>161484.69999999998</v>
      </c>
      <c r="K28" s="117">
        <v>169226.7</v>
      </c>
      <c r="L28" s="118">
        <f t="shared" si="6"/>
        <v>7742.0000000000291</v>
      </c>
      <c r="M28" s="119">
        <f t="shared" si="2"/>
        <v>4.7942622428007294E-2</v>
      </c>
      <c r="N28" s="120"/>
      <c r="O28" s="117">
        <v>323419.62</v>
      </c>
      <c r="P28" s="117">
        <v>332132.01</v>
      </c>
      <c r="Q28" s="118">
        <f t="shared" si="3"/>
        <v>8712.390000000014</v>
      </c>
      <c r="R28" s="119">
        <f t="shared" si="4"/>
        <v>2.6938347154078082E-2</v>
      </c>
      <c r="S28" s="120"/>
    </row>
    <row r="29" spans="1:20" ht="46.5" customHeight="1" x14ac:dyDescent="0.2">
      <c r="A29" s="546" t="s">
        <v>68</v>
      </c>
      <c r="B29" s="116" t="s">
        <v>69</v>
      </c>
      <c r="C29" s="117"/>
      <c r="D29" s="301">
        <v>0</v>
      </c>
      <c r="E29" s="301">
        <v>0</v>
      </c>
      <c r="F29" s="117"/>
      <c r="G29" s="118">
        <f t="shared" si="0"/>
        <v>0</v>
      </c>
      <c r="H29" s="119" t="str">
        <f t="shared" si="1"/>
        <v>-</v>
      </c>
      <c r="I29" s="120"/>
      <c r="J29" s="301">
        <v>0</v>
      </c>
      <c r="K29" s="117"/>
      <c r="L29" s="118">
        <f t="shared" si="6"/>
        <v>0</v>
      </c>
      <c r="M29" s="119" t="str">
        <f t="shared" si="2"/>
        <v>-</v>
      </c>
      <c r="N29" s="120"/>
      <c r="O29" s="117">
        <v>0</v>
      </c>
      <c r="P29" s="117"/>
      <c r="Q29" s="118">
        <f t="shared" si="3"/>
        <v>0</v>
      </c>
      <c r="R29" s="119" t="str">
        <f t="shared" si="4"/>
        <v>-</v>
      </c>
      <c r="S29" s="120"/>
    </row>
    <row r="30" spans="1:20" s="2" customFormat="1" ht="46.5" customHeight="1" x14ac:dyDescent="0.2">
      <c r="A30" s="546" t="s">
        <v>70</v>
      </c>
      <c r="B30" s="121" t="s">
        <v>71</v>
      </c>
      <c r="C30" s="117">
        <v>161215</v>
      </c>
      <c r="D30" s="301">
        <v>161215</v>
      </c>
      <c r="E30" s="301">
        <v>44252</v>
      </c>
      <c r="F30" s="117">
        <v>42377</v>
      </c>
      <c r="G30" s="118">
        <f t="shared" si="0"/>
        <v>-1875</v>
      </c>
      <c r="H30" s="119">
        <f t="shared" si="1"/>
        <v>-4.2370966284009763E-2</v>
      </c>
      <c r="I30" s="120"/>
      <c r="J30" s="301">
        <v>81111</v>
      </c>
      <c r="K30" s="117">
        <v>82088</v>
      </c>
      <c r="L30" s="118">
        <f t="shared" si="6"/>
        <v>977</v>
      </c>
      <c r="M30" s="119">
        <f t="shared" si="2"/>
        <v>1.2045221979756137E-2</v>
      </c>
      <c r="N30" s="120"/>
      <c r="O30" s="117">
        <v>161215</v>
      </c>
      <c r="P30" s="117">
        <v>159247</v>
      </c>
      <c r="Q30" s="118">
        <f t="shared" si="3"/>
        <v>-1968</v>
      </c>
      <c r="R30" s="119">
        <f t="shared" si="4"/>
        <v>-1.2207300809478027E-2</v>
      </c>
      <c r="S30" s="120"/>
      <c r="T30" s="1"/>
    </row>
    <row r="31" spans="1:20" s="2" customFormat="1" ht="46.5" customHeight="1" x14ac:dyDescent="0.2">
      <c r="A31" s="547" t="s">
        <v>72</v>
      </c>
      <c r="B31" s="122" t="s">
        <v>73</v>
      </c>
      <c r="C31" s="123">
        <f>305032.18+16743.61</f>
        <v>321775.78999999998</v>
      </c>
      <c r="D31" s="302">
        <v>324644.41000000003</v>
      </c>
      <c r="E31" s="302">
        <v>75359.959999999992</v>
      </c>
      <c r="F31" s="123">
        <f>73563.84</f>
        <v>73563.839999999997</v>
      </c>
      <c r="G31" s="124">
        <f t="shared" si="0"/>
        <v>-1796.1199999999953</v>
      </c>
      <c r="H31" s="125">
        <f t="shared" si="1"/>
        <v>-2.3833876769573596E-2</v>
      </c>
      <c r="I31" s="120"/>
      <c r="J31" s="302">
        <v>152705.09999999998</v>
      </c>
      <c r="K31" s="123">
        <f>147127.68+28115.96</f>
        <v>175243.63999999998</v>
      </c>
      <c r="L31" s="124">
        <f t="shared" si="6"/>
        <v>22538.540000000008</v>
      </c>
      <c r="M31" s="125">
        <f t="shared" si="2"/>
        <v>0.147595201470023</v>
      </c>
      <c r="N31" s="120"/>
      <c r="O31" s="123">
        <v>324644.41000000003</v>
      </c>
      <c r="P31" s="123">
        <f>294255.4+87586.03</f>
        <v>381841.43000000005</v>
      </c>
      <c r="Q31" s="124">
        <f t="shared" si="3"/>
        <v>57197.020000000019</v>
      </c>
      <c r="R31" s="125">
        <f t="shared" si="4"/>
        <v>0.17618359730882172</v>
      </c>
      <c r="S31" s="567" t="s">
        <v>74</v>
      </c>
      <c r="T31" s="1"/>
    </row>
    <row r="32" spans="1:20" ht="46.5" customHeight="1" x14ac:dyDescent="0.2">
      <c r="A32" s="543" t="s">
        <v>75</v>
      </c>
      <c r="B32" s="260" t="s">
        <v>76</v>
      </c>
      <c r="C32" s="261">
        <f>C33+C58+C140</f>
        <v>26633096.950000003</v>
      </c>
      <c r="D32" s="296">
        <v>28104961.004913203</v>
      </c>
      <c r="E32" s="296">
        <v>7199622.2100000009</v>
      </c>
      <c r="F32" s="261">
        <f>F33+F58+F140</f>
        <v>7165917.2000000002</v>
      </c>
      <c r="G32" s="262">
        <f t="shared" si="0"/>
        <v>-33705.010000000708</v>
      </c>
      <c r="H32" s="263">
        <f t="shared" si="1"/>
        <v>-4.6814970309394478E-3</v>
      </c>
      <c r="I32" s="264"/>
      <c r="J32" s="296">
        <v>14054780.338739201</v>
      </c>
      <c r="K32" s="261">
        <f>K33+K58+K140</f>
        <v>14439698.089999998</v>
      </c>
      <c r="L32" s="262">
        <f t="shared" si="6"/>
        <v>384917.75126079656</v>
      </c>
      <c r="M32" s="263">
        <f t="shared" si="2"/>
        <v>2.7386963153016877E-2</v>
      </c>
      <c r="N32" s="264"/>
      <c r="O32" s="261">
        <v>28104961.004913203</v>
      </c>
      <c r="P32" s="261">
        <f>P33+P58+P140</f>
        <v>29679348.41</v>
      </c>
      <c r="Q32" s="262">
        <f t="shared" si="3"/>
        <v>1574387.4050867967</v>
      </c>
      <c r="R32" s="263">
        <f t="shared" si="4"/>
        <v>5.6018131632047746E-2</v>
      </c>
      <c r="S32" s="264"/>
    </row>
    <row r="33" spans="1:20" s="2" customFormat="1" ht="46.5" customHeight="1" x14ac:dyDescent="0.2">
      <c r="A33" s="548" t="s">
        <v>77</v>
      </c>
      <c r="B33" s="246" t="s">
        <v>78</v>
      </c>
      <c r="C33" s="297">
        <f>C34+C50</f>
        <v>16205142.710000001</v>
      </c>
      <c r="D33" s="297">
        <v>17305142.714913201</v>
      </c>
      <c r="E33" s="297">
        <v>4225370.43</v>
      </c>
      <c r="F33" s="237">
        <f>F34+F50</f>
        <v>4250206.16</v>
      </c>
      <c r="G33" s="238">
        <f t="shared" si="0"/>
        <v>24835.730000000447</v>
      </c>
      <c r="H33" s="239">
        <f t="shared" si="1"/>
        <v>5.8777639526389281E-3</v>
      </c>
      <c r="I33" s="240"/>
      <c r="J33" s="297">
        <v>8670603.5587392002</v>
      </c>
      <c r="K33" s="237">
        <f>K34+K50</f>
        <v>8779683.5699999984</v>
      </c>
      <c r="L33" s="238">
        <f t="shared" si="6"/>
        <v>109080.0112607982</v>
      </c>
      <c r="M33" s="239">
        <f t="shared" si="2"/>
        <v>1.2580440395162019E-2</v>
      </c>
      <c r="N33" s="240"/>
      <c r="O33" s="237">
        <v>17305142.714913201</v>
      </c>
      <c r="P33" s="237">
        <f>P34+P50</f>
        <v>18122414.120000001</v>
      </c>
      <c r="Q33" s="238">
        <f>P33-O33</f>
        <v>817271.40508680046</v>
      </c>
      <c r="R33" s="239">
        <f t="shared" si="4"/>
        <v>4.7227082639572426E-2</v>
      </c>
      <c r="S33" s="240"/>
      <c r="T33" s="1"/>
    </row>
    <row r="34" spans="1:20" s="2" customFormat="1" ht="46.5" customHeight="1" x14ac:dyDescent="0.2">
      <c r="A34" s="549">
        <v>1100</v>
      </c>
      <c r="B34" s="97" t="s">
        <v>79</v>
      </c>
      <c r="C34" s="298">
        <f>C35+C39+C48+C49</f>
        <v>12926814.740000002</v>
      </c>
      <c r="D34" s="298">
        <v>13806054.964913199</v>
      </c>
      <c r="E34" s="298">
        <v>3353029.96</v>
      </c>
      <c r="F34" s="298">
        <f>F35+F39+F48</f>
        <v>3390557.0900000003</v>
      </c>
      <c r="G34" s="141">
        <f t="shared" si="0"/>
        <v>37527.130000000354</v>
      </c>
      <c r="H34" s="142">
        <f t="shared" si="1"/>
        <v>1.1192005573371123E-2</v>
      </c>
      <c r="I34" s="292"/>
      <c r="J34" s="298">
        <v>6925762.4987391997</v>
      </c>
      <c r="K34" s="298">
        <f>K35+K39+K48</f>
        <v>7026210.7399999993</v>
      </c>
      <c r="L34" s="141">
        <f t="shared" si="6"/>
        <v>100448.24126079958</v>
      </c>
      <c r="M34" s="142">
        <f t="shared" si="2"/>
        <v>1.4503564232687113E-2</v>
      </c>
      <c r="N34" s="292"/>
      <c r="O34" s="298">
        <v>13806054.964913199</v>
      </c>
      <c r="P34" s="298">
        <f>P35+P39+P48</f>
        <v>14500168.48</v>
      </c>
      <c r="Q34" s="141">
        <f t="shared" si="3"/>
        <v>694113.51508680172</v>
      </c>
      <c r="R34" s="142">
        <f t="shared" si="4"/>
        <v>5.0276021416025538E-2</v>
      </c>
      <c r="S34" s="292"/>
      <c r="T34" s="1"/>
    </row>
    <row r="35" spans="1:20" ht="46.5" customHeight="1" x14ac:dyDescent="0.2">
      <c r="A35" s="550">
        <v>1110</v>
      </c>
      <c r="B35" s="126" t="s">
        <v>80</v>
      </c>
      <c r="C35" s="303">
        <f>C36+C38</f>
        <v>9475902.7200000007</v>
      </c>
      <c r="D35" s="303">
        <v>10286734.119999999</v>
      </c>
      <c r="E35" s="303">
        <v>2523805.14</v>
      </c>
      <c r="F35" s="437">
        <f>F36+F37+F38</f>
        <v>2507072.63</v>
      </c>
      <c r="G35" s="112">
        <f t="shared" si="0"/>
        <v>-16732.510000000242</v>
      </c>
      <c r="H35" s="113">
        <f t="shared" si="1"/>
        <v>-6.6298739687962764E-3</v>
      </c>
      <c r="I35" s="710"/>
      <c r="J35" s="303">
        <v>5121653.6400000006</v>
      </c>
      <c r="K35" s="303">
        <f>K36+K37+K38</f>
        <v>5191464.4499999993</v>
      </c>
      <c r="L35" s="112">
        <f t="shared" si="6"/>
        <v>69810.809999998659</v>
      </c>
      <c r="M35" s="113">
        <f t="shared" si="2"/>
        <v>1.3630521489149089E-2</v>
      </c>
      <c r="N35" s="710"/>
      <c r="O35" s="303">
        <v>10286734.119999999</v>
      </c>
      <c r="P35" s="303">
        <f>P36+P37+P38</f>
        <v>10729198.699999999</v>
      </c>
      <c r="Q35" s="112">
        <f t="shared" si="3"/>
        <v>442464.58000000007</v>
      </c>
      <c r="R35" s="113">
        <f t="shared" si="4"/>
        <v>4.3013124946987558E-2</v>
      </c>
      <c r="S35" s="710"/>
    </row>
    <row r="36" spans="1:20" ht="46.5" customHeight="1" x14ac:dyDescent="0.2">
      <c r="A36" s="241">
        <v>1111</v>
      </c>
      <c r="B36" s="127" t="s">
        <v>81</v>
      </c>
      <c r="C36" s="299">
        <v>128989.8</v>
      </c>
      <c r="D36" s="299">
        <v>162702</v>
      </c>
      <c r="E36" s="299">
        <v>40668</v>
      </c>
      <c r="F36" s="115">
        <v>38505.85</v>
      </c>
      <c r="G36" s="112">
        <f t="shared" si="0"/>
        <v>-2162.1500000000015</v>
      </c>
      <c r="H36" s="113">
        <f t="shared" si="1"/>
        <v>-5.3165879807219471E-2</v>
      </c>
      <c r="I36" s="710"/>
      <c r="J36" s="299">
        <v>81336</v>
      </c>
      <c r="K36" s="111">
        <v>79173.850000000006</v>
      </c>
      <c r="L36" s="112">
        <f t="shared" si="6"/>
        <v>-2162.1499999999942</v>
      </c>
      <c r="M36" s="113">
        <f t="shared" si="2"/>
        <v>-2.6582939903609645E-2</v>
      </c>
      <c r="N36" s="710"/>
      <c r="O36" s="299">
        <v>162702</v>
      </c>
      <c r="P36" s="115">
        <v>160602.47</v>
      </c>
      <c r="Q36" s="112">
        <f t="shared" si="3"/>
        <v>-2099.5299999999988</v>
      </c>
      <c r="R36" s="113">
        <f t="shared" si="4"/>
        <v>-1.2904143772049508E-2</v>
      </c>
      <c r="S36" s="710"/>
    </row>
    <row r="37" spans="1:20" ht="46.5" customHeight="1" x14ac:dyDescent="0.2">
      <c r="A37" s="241">
        <v>1112</v>
      </c>
      <c r="B37" s="127" t="s">
        <v>82</v>
      </c>
      <c r="C37" s="299"/>
      <c r="D37" s="299">
        <v>0</v>
      </c>
      <c r="E37" s="299">
        <v>0</v>
      </c>
      <c r="F37" s="115"/>
      <c r="G37" s="112"/>
      <c r="H37" s="113"/>
      <c r="I37" s="710"/>
      <c r="J37" s="299">
        <v>0</v>
      </c>
      <c r="K37" s="111"/>
      <c r="L37" s="112"/>
      <c r="M37" s="113"/>
      <c r="N37" s="710"/>
      <c r="O37" s="299">
        <v>0</v>
      </c>
      <c r="P37" s="111"/>
      <c r="Q37" s="112"/>
      <c r="R37" s="113"/>
      <c r="S37" s="710"/>
    </row>
    <row r="38" spans="1:20" ht="46.5" customHeight="1" x14ac:dyDescent="0.2">
      <c r="A38" s="241">
        <v>1113</v>
      </c>
      <c r="B38" s="127" t="s">
        <v>83</v>
      </c>
      <c r="C38" s="300">
        <f>9346912.92</f>
        <v>9346912.9199999999</v>
      </c>
      <c r="D38" s="299">
        <v>10124032.119999999</v>
      </c>
      <c r="E38" s="299">
        <v>2483137.14</v>
      </c>
      <c r="F38" s="115">
        <v>2468566.7799999998</v>
      </c>
      <c r="G38" s="112">
        <f t="shared" si="0"/>
        <v>-14570.360000000335</v>
      </c>
      <c r="H38" s="113">
        <f t="shared" si="1"/>
        <v>-5.8677226341193279E-3</v>
      </c>
      <c r="I38" s="710"/>
      <c r="J38" s="299">
        <v>5040317.6400000006</v>
      </c>
      <c r="K38" s="111">
        <v>5112290.5999999996</v>
      </c>
      <c r="L38" s="112">
        <f t="shared" si="6"/>
        <v>71972.959999999031</v>
      </c>
      <c r="M38" s="113">
        <f t="shared" si="2"/>
        <v>1.4279449261058678E-2</v>
      </c>
      <c r="N38" s="710"/>
      <c r="O38" s="299">
        <v>10124032.119999999</v>
      </c>
      <c r="P38" s="111">
        <f>10729198.7-160602.47</f>
        <v>10568596.229999999</v>
      </c>
      <c r="Q38" s="112">
        <f t="shared" si="3"/>
        <v>444564.1099999994</v>
      </c>
      <c r="R38" s="113">
        <f t="shared" si="4"/>
        <v>4.3911764080811655E-2</v>
      </c>
      <c r="S38" s="710"/>
    </row>
    <row r="39" spans="1:20" s="242" customFormat="1" ht="46.5" customHeight="1" x14ac:dyDescent="0.2">
      <c r="A39" s="550">
        <v>1140</v>
      </c>
      <c r="B39" s="131" t="s">
        <v>84</v>
      </c>
      <c r="C39" s="305">
        <f>C40+C41+C42+C43+C44+C45+C46+C47</f>
        <v>3369308.54</v>
      </c>
      <c r="D39" s="304">
        <v>3435379.5749132</v>
      </c>
      <c r="E39" s="304">
        <v>815558.33000000007</v>
      </c>
      <c r="F39" s="304">
        <f>F40+F41+F42+F43+F44+F45+F46+F47</f>
        <v>865905.49</v>
      </c>
      <c r="G39" s="118">
        <f t="shared" si="0"/>
        <v>50347.159999999916</v>
      </c>
      <c r="H39" s="119">
        <f t="shared" si="1"/>
        <v>6.1733364920691709E-2</v>
      </c>
      <c r="I39" s="714"/>
      <c r="J39" s="304">
        <v>1771576.9187391999</v>
      </c>
      <c r="K39" s="304">
        <f>K40+K41+K42+K43+K44+K45+K46+K47</f>
        <v>1794925.07</v>
      </c>
      <c r="L39" s="118">
        <f t="shared" si="6"/>
        <v>23348.151260800194</v>
      </c>
      <c r="M39" s="119">
        <f t="shared" si="2"/>
        <v>1.3179304276224518E-2</v>
      </c>
      <c r="N39" s="717" t="s">
        <v>85</v>
      </c>
      <c r="O39" s="304">
        <v>3435379.5749132</v>
      </c>
      <c r="P39" s="304">
        <f>P40+P41+P42+P43+P44+P45+P46+P47</f>
        <v>3688304.4000000004</v>
      </c>
      <c r="Q39" s="118">
        <f t="shared" si="3"/>
        <v>252924.82508680038</v>
      </c>
      <c r="R39" s="119">
        <f t="shared" si="4"/>
        <v>7.3623545687288697E-2</v>
      </c>
      <c r="S39" s="728" t="s">
        <v>86</v>
      </c>
      <c r="T39" s="1"/>
    </row>
    <row r="40" spans="1:20" s="2" customFormat="1" ht="46.5" customHeight="1" x14ac:dyDescent="0.2">
      <c r="A40" s="241">
        <v>1141</v>
      </c>
      <c r="B40" s="128" t="s">
        <v>87</v>
      </c>
      <c r="C40" s="300">
        <v>586614.53</v>
      </c>
      <c r="D40" s="299">
        <v>636386.27</v>
      </c>
      <c r="E40" s="299">
        <v>161866.99</v>
      </c>
      <c r="F40" s="111">
        <v>162714.07999999999</v>
      </c>
      <c r="G40" s="112">
        <f t="shared" si="0"/>
        <v>847.08999999999651</v>
      </c>
      <c r="H40" s="113">
        <f t="shared" si="1"/>
        <v>5.2332473718081527E-3</v>
      </c>
      <c r="I40" s="715"/>
      <c r="J40" s="299">
        <v>326647.57999999996</v>
      </c>
      <c r="K40" s="111">
        <v>329234.98</v>
      </c>
      <c r="L40" s="112">
        <f t="shared" si="6"/>
        <v>2587.4000000000233</v>
      </c>
      <c r="M40" s="113">
        <f t="shared" si="2"/>
        <v>7.9210750619980817E-3</v>
      </c>
      <c r="N40" s="718"/>
      <c r="O40" s="299">
        <v>636386.27</v>
      </c>
      <c r="P40" s="111">
        <v>657997.79</v>
      </c>
      <c r="Q40" s="112">
        <f t="shared" si="3"/>
        <v>21611.520000000019</v>
      </c>
      <c r="R40" s="113">
        <f t="shared" si="4"/>
        <v>3.3959752148643961E-2</v>
      </c>
      <c r="S40" s="729"/>
      <c r="T40" s="1"/>
    </row>
    <row r="41" spans="1:20" s="2" customFormat="1" ht="46.5" customHeight="1" x14ac:dyDescent="0.2">
      <c r="A41" s="241">
        <v>1142</v>
      </c>
      <c r="B41" s="128" t="s">
        <v>88</v>
      </c>
      <c r="C41" s="300">
        <v>861817.84</v>
      </c>
      <c r="D41" s="299">
        <v>932364.04999999993</v>
      </c>
      <c r="E41" s="299">
        <v>189366.81999999998</v>
      </c>
      <c r="F41" s="111">
        <v>213043.66</v>
      </c>
      <c r="G41" s="112">
        <f t="shared" si="0"/>
        <v>23676.840000000026</v>
      </c>
      <c r="H41" s="113">
        <f t="shared" si="1"/>
        <v>0.12503161852746975</v>
      </c>
      <c r="I41" s="715"/>
      <c r="J41" s="299">
        <v>515416.20999999996</v>
      </c>
      <c r="K41" s="111">
        <v>456155.14</v>
      </c>
      <c r="L41" s="112">
        <f t="shared" si="6"/>
        <v>-59261.069999999949</v>
      </c>
      <c r="M41" s="113">
        <f t="shared" si="2"/>
        <v>-0.11497711723114015</v>
      </c>
      <c r="N41" s="718"/>
      <c r="O41" s="299">
        <v>932364.04999999993</v>
      </c>
      <c r="P41" s="111">
        <v>890370.53</v>
      </c>
      <c r="Q41" s="112">
        <f t="shared" si="3"/>
        <v>-41993.519999999902</v>
      </c>
      <c r="R41" s="113">
        <f t="shared" si="4"/>
        <v>-4.5039831812477012E-2</v>
      </c>
      <c r="S41" s="729"/>
      <c r="T41" s="1"/>
    </row>
    <row r="42" spans="1:20" s="2" customFormat="1" ht="46.5" customHeight="1" x14ac:dyDescent="0.2">
      <c r="A42" s="241">
        <v>1144</v>
      </c>
      <c r="B42" s="128" t="s">
        <v>89</v>
      </c>
      <c r="C42" s="412"/>
      <c r="D42" s="299">
        <v>0</v>
      </c>
      <c r="E42" s="299">
        <v>0</v>
      </c>
      <c r="F42" s="111"/>
      <c r="G42" s="112">
        <f t="shared" si="0"/>
        <v>0</v>
      </c>
      <c r="H42" s="113" t="str">
        <f t="shared" si="1"/>
        <v>-</v>
      </c>
      <c r="I42" s="715"/>
      <c r="J42" s="299">
        <v>0</v>
      </c>
      <c r="K42" s="111"/>
      <c r="L42" s="112">
        <f t="shared" si="6"/>
        <v>0</v>
      </c>
      <c r="M42" s="113" t="str">
        <f t="shared" si="2"/>
        <v>-</v>
      </c>
      <c r="N42" s="718"/>
      <c r="O42" s="299">
        <v>0</v>
      </c>
      <c r="P42" s="111"/>
      <c r="Q42" s="112">
        <f t="shared" si="3"/>
        <v>0</v>
      </c>
      <c r="R42" s="113" t="str">
        <f t="shared" si="4"/>
        <v>-</v>
      </c>
      <c r="S42" s="729"/>
      <c r="T42" s="1"/>
    </row>
    <row r="43" spans="1:20" s="2" customFormat="1" ht="46.5" customHeight="1" x14ac:dyDescent="0.2">
      <c r="A43" s="241">
        <v>1145</v>
      </c>
      <c r="B43" s="128" t="s">
        <v>90</v>
      </c>
      <c r="C43" s="300">
        <v>1590011.87</v>
      </c>
      <c r="D43" s="299">
        <v>1545787.94</v>
      </c>
      <c r="E43" s="299">
        <v>399698.1</v>
      </c>
      <c r="F43" s="111">
        <v>422090.93</v>
      </c>
      <c r="G43" s="112">
        <f t="shared" si="0"/>
        <v>22392.830000000016</v>
      </c>
      <c r="H43" s="113">
        <f t="shared" si="1"/>
        <v>5.602435938524606E-2</v>
      </c>
      <c r="I43" s="715"/>
      <c r="J43" s="299">
        <v>752656.02999999991</v>
      </c>
      <c r="K43" s="111">
        <v>826060.13</v>
      </c>
      <c r="L43" s="112">
        <f t="shared" si="6"/>
        <v>73404.100000000093</v>
      </c>
      <c r="M43" s="113">
        <f t="shared" si="2"/>
        <v>9.7526754685005448E-2</v>
      </c>
      <c r="N43" s="718"/>
      <c r="O43" s="299">
        <v>1545787.94</v>
      </c>
      <c r="P43" s="111">
        <v>1707741.92</v>
      </c>
      <c r="Q43" s="112">
        <f t="shared" si="3"/>
        <v>161953.97999999998</v>
      </c>
      <c r="R43" s="113">
        <f t="shared" si="4"/>
        <v>0.10477114991594512</v>
      </c>
      <c r="S43" s="729"/>
      <c r="T43" s="1"/>
    </row>
    <row r="44" spans="1:20" s="2" customFormat="1" ht="46.5" customHeight="1" x14ac:dyDescent="0.2">
      <c r="A44" s="241">
        <v>1146</v>
      </c>
      <c r="B44" s="128" t="s">
        <v>91</v>
      </c>
      <c r="C44" s="300">
        <v>71716.649999999994</v>
      </c>
      <c r="D44" s="299">
        <v>86480.154913200007</v>
      </c>
      <c r="E44" s="299">
        <v>20838.150000000001</v>
      </c>
      <c r="F44" s="111">
        <v>21287.78</v>
      </c>
      <c r="G44" s="112">
        <f t="shared" si="0"/>
        <v>449.62999999999738</v>
      </c>
      <c r="H44" s="113">
        <f t="shared" si="1"/>
        <v>2.1577251339490181E-2</v>
      </c>
      <c r="I44" s="715"/>
      <c r="J44" s="299">
        <v>44467.008739200006</v>
      </c>
      <c r="K44" s="111">
        <v>44467.97</v>
      </c>
      <c r="L44" s="112">
        <f t="shared" si="6"/>
        <v>0.96126079999521608</v>
      </c>
      <c r="M44" s="113">
        <f t="shared" si="2"/>
        <v>2.1617392922313081E-5</v>
      </c>
      <c r="N44" s="718"/>
      <c r="O44" s="299">
        <v>86480.154913200007</v>
      </c>
      <c r="P44" s="111">
        <v>88006.720000000001</v>
      </c>
      <c r="Q44" s="112">
        <f t="shared" si="3"/>
        <v>1526.5650867999939</v>
      </c>
      <c r="R44" s="113">
        <f t="shared" si="4"/>
        <v>1.76522011128704E-2</v>
      </c>
      <c r="S44" s="729"/>
      <c r="T44" s="1"/>
    </row>
    <row r="45" spans="1:20" s="2" customFormat="1" ht="46.5" customHeight="1" x14ac:dyDescent="0.2">
      <c r="A45" s="241">
        <v>1147</v>
      </c>
      <c r="B45" s="128" t="s">
        <v>92</v>
      </c>
      <c r="C45" s="300">
        <v>69273.789999999994</v>
      </c>
      <c r="D45" s="299">
        <v>69114.920000000013</v>
      </c>
      <c r="E45" s="299">
        <v>17884.47</v>
      </c>
      <c r="F45" s="111">
        <v>17687.02</v>
      </c>
      <c r="G45" s="112">
        <f t="shared" si="0"/>
        <v>-197.45000000000073</v>
      </c>
      <c r="H45" s="113">
        <f t="shared" si="1"/>
        <v>-1.1040304800757345E-2</v>
      </c>
      <c r="I45" s="715"/>
      <c r="J45" s="299">
        <v>35945.670000000006</v>
      </c>
      <c r="K45" s="111">
        <v>34163.01</v>
      </c>
      <c r="L45" s="112">
        <f t="shared" si="6"/>
        <v>-1782.6600000000035</v>
      </c>
      <c r="M45" s="113">
        <f t="shared" si="2"/>
        <v>-4.9593177704018401E-2</v>
      </c>
      <c r="N45" s="718"/>
      <c r="O45" s="299">
        <v>69114.920000000013</v>
      </c>
      <c r="P45" s="111">
        <v>72659.19</v>
      </c>
      <c r="Q45" s="112">
        <f t="shared" si="3"/>
        <v>3544.2699999999895</v>
      </c>
      <c r="R45" s="113">
        <f t="shared" si="4"/>
        <v>5.1280823301249411E-2</v>
      </c>
      <c r="S45" s="729"/>
      <c r="T45" s="1"/>
    </row>
    <row r="46" spans="1:20" s="2" customFormat="1" ht="46.5" customHeight="1" x14ac:dyDescent="0.2">
      <c r="A46" s="241">
        <v>1148</v>
      </c>
      <c r="B46" s="128" t="s">
        <v>93</v>
      </c>
      <c r="C46" s="300">
        <v>44674.34</v>
      </c>
      <c r="D46" s="299">
        <v>38566</v>
      </c>
      <c r="E46" s="299">
        <v>0</v>
      </c>
      <c r="F46" s="111"/>
      <c r="G46" s="112">
        <f t="shared" si="0"/>
        <v>0</v>
      </c>
      <c r="H46" s="113" t="str">
        <f t="shared" si="1"/>
        <v>-</v>
      </c>
      <c r="I46" s="715"/>
      <c r="J46" s="299">
        <v>38566</v>
      </c>
      <c r="K46" s="111">
        <v>43622.74</v>
      </c>
      <c r="L46" s="112">
        <f t="shared" si="6"/>
        <v>5056.739999999998</v>
      </c>
      <c r="M46" s="113">
        <f t="shared" si="2"/>
        <v>0.13111912046880667</v>
      </c>
      <c r="N46" s="718"/>
      <c r="O46" s="299">
        <v>38566</v>
      </c>
      <c r="P46" s="111">
        <v>130589.22</v>
      </c>
      <c r="Q46" s="112">
        <f t="shared" si="3"/>
        <v>92023.22</v>
      </c>
      <c r="R46" s="113">
        <f t="shared" si="4"/>
        <v>2.3861230099050976</v>
      </c>
      <c r="S46" s="729"/>
      <c r="T46" s="1"/>
    </row>
    <row r="47" spans="1:20" s="2" customFormat="1" ht="46.5" customHeight="1" x14ac:dyDescent="0.2">
      <c r="A47" s="241">
        <v>1149</v>
      </c>
      <c r="B47" s="128" t="s">
        <v>94</v>
      </c>
      <c r="C47" s="300">
        <v>145199.51999999999</v>
      </c>
      <c r="D47" s="300">
        <v>126680.23999999999</v>
      </c>
      <c r="E47" s="300">
        <v>25903.8</v>
      </c>
      <c r="F47" s="111">
        <v>29082.02</v>
      </c>
      <c r="G47" s="129">
        <f t="shared" si="0"/>
        <v>3178.2200000000012</v>
      </c>
      <c r="H47" s="130">
        <f t="shared" si="1"/>
        <v>0.12269319559292464</v>
      </c>
      <c r="I47" s="716"/>
      <c r="J47" s="300">
        <v>57878.42</v>
      </c>
      <c r="K47" s="111">
        <v>61221.1</v>
      </c>
      <c r="L47" s="129">
        <f t="shared" si="6"/>
        <v>3342.6800000000003</v>
      </c>
      <c r="M47" s="130">
        <f t="shared" si="2"/>
        <v>5.7753477029953482E-2</v>
      </c>
      <c r="N47" s="719"/>
      <c r="O47" s="300">
        <v>126680.23999999999</v>
      </c>
      <c r="P47" s="111">
        <v>140939.03</v>
      </c>
      <c r="Q47" s="129">
        <f t="shared" si="3"/>
        <v>14258.790000000008</v>
      </c>
      <c r="R47" s="130">
        <f t="shared" si="4"/>
        <v>0.11255733332996534</v>
      </c>
      <c r="S47" s="730"/>
      <c r="T47" s="1"/>
    </row>
    <row r="48" spans="1:20" s="2" customFormat="1" ht="63" x14ac:dyDescent="0.2">
      <c r="A48" s="551">
        <v>1150</v>
      </c>
      <c r="B48" s="131" t="s">
        <v>95</v>
      </c>
      <c r="C48" s="302">
        <v>81603.48</v>
      </c>
      <c r="D48" s="301">
        <v>83941.27</v>
      </c>
      <c r="E48" s="301">
        <v>13666.49</v>
      </c>
      <c r="F48" s="117">
        <v>17578.97</v>
      </c>
      <c r="G48" s="118">
        <f t="shared" si="0"/>
        <v>3912.4800000000014</v>
      </c>
      <c r="H48" s="119">
        <f t="shared" si="1"/>
        <v>0.28628272511815406</v>
      </c>
      <c r="I48" s="441" t="s">
        <v>96</v>
      </c>
      <c r="J48" s="301">
        <v>32531.940000000002</v>
      </c>
      <c r="K48" s="117">
        <v>39821.22</v>
      </c>
      <c r="L48" s="118">
        <f t="shared" si="6"/>
        <v>7289.2799999999988</v>
      </c>
      <c r="M48" s="119">
        <f t="shared" si="2"/>
        <v>0.22406533394565459</v>
      </c>
      <c r="N48" s="441" t="s">
        <v>97</v>
      </c>
      <c r="O48" s="301">
        <v>83941.27</v>
      </c>
      <c r="P48" s="117">
        <v>82665.38</v>
      </c>
      <c r="Q48" s="118">
        <f t="shared" si="3"/>
        <v>-1275.8899999999994</v>
      </c>
      <c r="R48" s="119">
        <f t="shared" si="4"/>
        <v>-1.5199793855870889E-2</v>
      </c>
      <c r="S48" s="120"/>
      <c r="T48" s="1"/>
    </row>
    <row r="49" spans="1:20" s="2" customFormat="1" ht="46.5" customHeight="1" x14ac:dyDescent="0.2">
      <c r="A49" s="550">
        <v>1170</v>
      </c>
      <c r="B49" s="134" t="s">
        <v>98</v>
      </c>
      <c r="C49" s="410"/>
      <c r="D49" s="301">
        <v>0</v>
      </c>
      <c r="E49" s="301">
        <v>0</v>
      </c>
      <c r="F49" s="117"/>
      <c r="G49" s="118">
        <f t="shared" si="0"/>
        <v>0</v>
      </c>
      <c r="H49" s="119" t="str">
        <f t="shared" si="1"/>
        <v>-</v>
      </c>
      <c r="I49" s="120"/>
      <c r="J49" s="301">
        <v>0</v>
      </c>
      <c r="K49" s="117"/>
      <c r="L49" s="118">
        <f t="shared" si="6"/>
        <v>0</v>
      </c>
      <c r="M49" s="119" t="str">
        <f t="shared" si="2"/>
        <v>-</v>
      </c>
      <c r="N49" s="120"/>
      <c r="O49" s="301">
        <v>0</v>
      </c>
      <c r="P49" s="117"/>
      <c r="Q49" s="118">
        <f t="shared" si="3"/>
        <v>0</v>
      </c>
      <c r="R49" s="119" t="str">
        <f t="shared" si="4"/>
        <v>-</v>
      </c>
      <c r="S49" s="120"/>
      <c r="T49" s="1"/>
    </row>
    <row r="50" spans="1:20" s="2" customFormat="1" ht="46.5" customHeight="1" x14ac:dyDescent="0.2">
      <c r="A50" s="549">
        <v>1200</v>
      </c>
      <c r="B50" s="145" t="s">
        <v>99</v>
      </c>
      <c r="C50" s="298">
        <f>C51+C52</f>
        <v>3278327.9699999997</v>
      </c>
      <c r="D50" s="298">
        <v>3499087.75</v>
      </c>
      <c r="E50" s="298">
        <v>872340.47</v>
      </c>
      <c r="F50" s="298">
        <f>F51+F52</f>
        <v>859649.07000000007</v>
      </c>
      <c r="G50" s="141">
        <f t="shared" si="0"/>
        <v>-12691.399999999907</v>
      </c>
      <c r="H50" s="142">
        <f t="shared" si="1"/>
        <v>-1.4548677307152685E-2</v>
      </c>
      <c r="I50" s="149"/>
      <c r="J50" s="298">
        <v>1744841.06</v>
      </c>
      <c r="K50" s="298">
        <f>K51+K52</f>
        <v>1753472.8299999998</v>
      </c>
      <c r="L50" s="141">
        <f t="shared" si="6"/>
        <v>8631.7699999997858</v>
      </c>
      <c r="M50" s="142">
        <f t="shared" si="2"/>
        <v>4.9470236561258967E-3</v>
      </c>
      <c r="N50" s="149"/>
      <c r="O50" s="298">
        <v>3499087.75</v>
      </c>
      <c r="P50" s="298">
        <f>P51+P52</f>
        <v>3622245.64</v>
      </c>
      <c r="Q50" s="141">
        <f t="shared" si="3"/>
        <v>123157.89000000013</v>
      </c>
      <c r="R50" s="142">
        <f t="shared" si="4"/>
        <v>3.5197142455201398E-2</v>
      </c>
      <c r="S50" s="149"/>
      <c r="T50" s="1"/>
    </row>
    <row r="51" spans="1:20" s="2" customFormat="1" ht="46.5" customHeight="1" x14ac:dyDescent="0.2">
      <c r="A51" s="550">
        <v>1210</v>
      </c>
      <c r="B51" s="131" t="s">
        <v>100</v>
      </c>
      <c r="C51" s="301">
        <v>3066267.78</v>
      </c>
      <c r="D51" s="301">
        <v>3285066.83</v>
      </c>
      <c r="E51" s="301">
        <v>798628.24</v>
      </c>
      <c r="F51" s="301">
        <v>804416.89</v>
      </c>
      <c r="G51" s="118">
        <f t="shared" si="0"/>
        <v>5788.6500000000233</v>
      </c>
      <c r="H51" s="119">
        <f t="shared" si="1"/>
        <v>7.2482410589438002E-3</v>
      </c>
      <c r="I51" s="120"/>
      <c r="J51" s="301">
        <v>1640854.27</v>
      </c>
      <c r="K51" s="301">
        <v>1661508.39</v>
      </c>
      <c r="L51" s="118">
        <f t="shared" si="6"/>
        <v>20654.119999999879</v>
      </c>
      <c r="M51" s="119">
        <f t="shared" si="2"/>
        <v>1.2587418869318528E-2</v>
      </c>
      <c r="N51" s="120"/>
      <c r="O51" s="301">
        <v>3285066.83</v>
      </c>
      <c r="P51" s="301">
        <v>3429954.79</v>
      </c>
      <c r="Q51" s="118">
        <f t="shared" si="3"/>
        <v>144887.95999999996</v>
      </c>
      <c r="R51" s="119">
        <f t="shared" si="4"/>
        <v>4.4105026624374627E-2</v>
      </c>
      <c r="S51" s="120"/>
      <c r="T51" s="1"/>
    </row>
    <row r="52" spans="1:20" s="2" customFormat="1" ht="46.5" customHeight="1" x14ac:dyDescent="0.2">
      <c r="A52" s="550">
        <v>1220</v>
      </c>
      <c r="B52" s="131" t="s">
        <v>101</v>
      </c>
      <c r="C52" s="304">
        <f>C53+C54+C55+C56+C57</f>
        <v>212060.19</v>
      </c>
      <c r="D52" s="304">
        <v>214020.91999999998</v>
      </c>
      <c r="E52" s="304">
        <v>73712.23000000001</v>
      </c>
      <c r="F52" s="304">
        <f>F53+F54+F55+F56+F57</f>
        <v>55232.18</v>
      </c>
      <c r="G52" s="118">
        <f t="shared" si="0"/>
        <v>-18480.05000000001</v>
      </c>
      <c r="H52" s="119">
        <f t="shared" si="1"/>
        <v>-0.25070534428276026</v>
      </c>
      <c r="I52" s="717" t="s">
        <v>102</v>
      </c>
      <c r="J52" s="304">
        <v>103986.79000000001</v>
      </c>
      <c r="K52" s="304">
        <f>K53+K54+K55+K56+K57</f>
        <v>91964.44</v>
      </c>
      <c r="L52" s="118">
        <f t="shared" si="6"/>
        <v>-12022.350000000006</v>
      </c>
      <c r="M52" s="119">
        <f t="shared" si="2"/>
        <v>-0.11561420445808554</v>
      </c>
      <c r="N52" s="717" t="s">
        <v>103</v>
      </c>
      <c r="O52" s="304">
        <v>214020.91999999998</v>
      </c>
      <c r="P52" s="304">
        <f>P53+P54+P55+P56+P57</f>
        <v>192290.85</v>
      </c>
      <c r="Q52" s="118">
        <f t="shared" si="3"/>
        <v>-21730.069999999978</v>
      </c>
      <c r="R52" s="119">
        <f t="shared" si="4"/>
        <v>-0.10153245766815683</v>
      </c>
      <c r="S52" s="733" t="s">
        <v>104</v>
      </c>
      <c r="T52" s="1"/>
    </row>
    <row r="53" spans="1:20" s="2" customFormat="1" ht="46.5" customHeight="1" x14ac:dyDescent="0.2">
      <c r="A53" s="241">
        <v>1221</v>
      </c>
      <c r="B53" s="128" t="s">
        <v>105</v>
      </c>
      <c r="C53" s="111">
        <v>211900.19</v>
      </c>
      <c r="D53" s="299">
        <v>213880.91999999998</v>
      </c>
      <c r="E53" s="299">
        <v>73652.23000000001</v>
      </c>
      <c r="F53" s="299">
        <v>55152.18</v>
      </c>
      <c r="G53" s="112">
        <f t="shared" si="0"/>
        <v>-18500.05000000001</v>
      </c>
      <c r="H53" s="113">
        <f t="shared" si="1"/>
        <v>-0.2511811251336179</v>
      </c>
      <c r="I53" s="718"/>
      <c r="J53" s="299">
        <v>103866.79000000001</v>
      </c>
      <c r="K53" s="299">
        <v>91824.44</v>
      </c>
      <c r="L53" s="112">
        <f t="shared" si="6"/>
        <v>-12042.350000000006</v>
      </c>
      <c r="M53" s="113">
        <f t="shared" si="2"/>
        <v>-0.11594033087958149</v>
      </c>
      <c r="N53" s="718"/>
      <c r="O53" s="299">
        <v>213880.91999999998</v>
      </c>
      <c r="P53" s="299">
        <v>191870.85</v>
      </c>
      <c r="Q53" s="112">
        <f t="shared" si="3"/>
        <v>-22010.069999999978</v>
      </c>
      <c r="R53" s="113">
        <f t="shared" si="4"/>
        <v>-0.10290805743682035</v>
      </c>
      <c r="S53" s="734"/>
      <c r="T53" s="1"/>
    </row>
    <row r="54" spans="1:20" s="2" customFormat="1" ht="46.5" customHeight="1" x14ac:dyDescent="0.2">
      <c r="A54" s="241">
        <v>1222</v>
      </c>
      <c r="B54" s="128" t="s">
        <v>106</v>
      </c>
      <c r="C54" s="111"/>
      <c r="D54" s="299">
        <v>0</v>
      </c>
      <c r="E54" s="299">
        <v>0</v>
      </c>
      <c r="F54" s="111"/>
      <c r="G54" s="112">
        <f t="shared" si="0"/>
        <v>0</v>
      </c>
      <c r="H54" s="113" t="str">
        <f t="shared" si="1"/>
        <v>-</v>
      </c>
      <c r="I54" s="718"/>
      <c r="J54" s="299">
        <v>0</v>
      </c>
      <c r="K54" s="111"/>
      <c r="L54" s="112">
        <f t="shared" si="6"/>
        <v>0</v>
      </c>
      <c r="M54" s="113" t="str">
        <f t="shared" si="2"/>
        <v>-</v>
      </c>
      <c r="N54" s="718"/>
      <c r="O54" s="111">
        <v>0</v>
      </c>
      <c r="P54" s="111"/>
      <c r="Q54" s="112">
        <f t="shared" si="3"/>
        <v>0</v>
      </c>
      <c r="R54" s="113" t="str">
        <f t="shared" si="4"/>
        <v>-</v>
      </c>
      <c r="S54" s="734"/>
      <c r="T54" s="1"/>
    </row>
    <row r="55" spans="1:20" s="2" customFormat="1" ht="46.5" customHeight="1" x14ac:dyDescent="0.2">
      <c r="A55" s="241">
        <v>1223</v>
      </c>
      <c r="B55" s="37" t="s">
        <v>107</v>
      </c>
      <c r="C55" s="111"/>
      <c r="D55" s="299">
        <v>0</v>
      </c>
      <c r="E55" s="299">
        <v>0</v>
      </c>
      <c r="F55" s="111"/>
      <c r="G55" s="112">
        <f t="shared" si="0"/>
        <v>0</v>
      </c>
      <c r="H55" s="113" t="str">
        <f t="shared" si="1"/>
        <v>-</v>
      </c>
      <c r="I55" s="718"/>
      <c r="J55" s="299">
        <v>0</v>
      </c>
      <c r="K55" s="111"/>
      <c r="L55" s="112">
        <f t="shared" si="6"/>
        <v>0</v>
      </c>
      <c r="M55" s="113" t="str">
        <f t="shared" si="2"/>
        <v>-</v>
      </c>
      <c r="N55" s="718"/>
      <c r="O55" s="111">
        <v>0</v>
      </c>
      <c r="P55" s="111"/>
      <c r="Q55" s="112">
        <f t="shared" si="3"/>
        <v>0</v>
      </c>
      <c r="R55" s="113" t="str">
        <f t="shared" si="4"/>
        <v>-</v>
      </c>
      <c r="S55" s="734"/>
      <c r="T55" s="1"/>
    </row>
    <row r="56" spans="1:20" s="2" customFormat="1" ht="46.5" customHeight="1" x14ac:dyDescent="0.2">
      <c r="A56" s="241">
        <v>1227</v>
      </c>
      <c r="B56" s="128" t="s">
        <v>108</v>
      </c>
      <c r="C56" s="111"/>
      <c r="D56" s="299">
        <v>0</v>
      </c>
      <c r="E56" s="299">
        <v>0</v>
      </c>
      <c r="F56" s="111"/>
      <c r="G56" s="112">
        <f t="shared" si="0"/>
        <v>0</v>
      </c>
      <c r="H56" s="113" t="str">
        <f t="shared" si="1"/>
        <v>-</v>
      </c>
      <c r="I56" s="718"/>
      <c r="J56" s="299">
        <v>0</v>
      </c>
      <c r="K56" s="111"/>
      <c r="L56" s="112">
        <f t="shared" si="6"/>
        <v>0</v>
      </c>
      <c r="M56" s="113" t="str">
        <f t="shared" si="2"/>
        <v>-</v>
      </c>
      <c r="N56" s="718"/>
      <c r="O56" s="111">
        <v>0</v>
      </c>
      <c r="P56" s="111"/>
      <c r="Q56" s="112">
        <f t="shared" si="3"/>
        <v>0</v>
      </c>
      <c r="R56" s="113" t="str">
        <f t="shared" si="4"/>
        <v>-</v>
      </c>
      <c r="S56" s="734"/>
      <c r="T56" s="1"/>
    </row>
    <row r="57" spans="1:20" s="2" customFormat="1" ht="46.5" customHeight="1" x14ac:dyDescent="0.2">
      <c r="A57" s="241">
        <v>1228</v>
      </c>
      <c r="B57" s="128" t="s">
        <v>109</v>
      </c>
      <c r="C57" s="111">
        <v>160</v>
      </c>
      <c r="D57" s="299">
        <v>140</v>
      </c>
      <c r="E57" s="299">
        <v>60</v>
      </c>
      <c r="F57" s="111">
        <v>80</v>
      </c>
      <c r="G57" s="112">
        <f t="shared" si="0"/>
        <v>20</v>
      </c>
      <c r="H57" s="113">
        <f t="shared" si="1"/>
        <v>0.33333333333333331</v>
      </c>
      <c r="I57" s="719"/>
      <c r="J57" s="299">
        <v>120</v>
      </c>
      <c r="K57" s="111">
        <v>140</v>
      </c>
      <c r="L57" s="112">
        <f t="shared" si="6"/>
        <v>20</v>
      </c>
      <c r="M57" s="113">
        <f t="shared" si="2"/>
        <v>0.16666666666666666</v>
      </c>
      <c r="N57" s="719"/>
      <c r="O57" s="111">
        <v>140</v>
      </c>
      <c r="P57" s="111">
        <v>420</v>
      </c>
      <c r="Q57" s="112">
        <f t="shared" si="3"/>
        <v>280</v>
      </c>
      <c r="R57" s="113">
        <f t="shared" si="4"/>
        <v>2</v>
      </c>
      <c r="S57" s="735"/>
      <c r="T57" s="1"/>
    </row>
    <row r="58" spans="1:20" s="2" customFormat="1" ht="46.5" customHeight="1" x14ac:dyDescent="0.2">
      <c r="A58" s="548">
        <v>2000</v>
      </c>
      <c r="B58" s="246" t="s">
        <v>110</v>
      </c>
      <c r="C58" s="237">
        <f>C59+C66+C103+C129+C139</f>
        <v>10427954.24</v>
      </c>
      <c r="D58" s="297">
        <v>10799818.289999999</v>
      </c>
      <c r="E58" s="297">
        <v>2974251.7800000003</v>
      </c>
      <c r="F58" s="237">
        <f>F59+F66+F103+F129+F139</f>
        <v>2915711.04</v>
      </c>
      <c r="G58" s="238">
        <f>F58-E58</f>
        <v>-58540.740000000224</v>
      </c>
      <c r="H58" s="239">
        <f>IFERROR(G58/ABS(E58), "-")</f>
        <v>-1.9682509864716369E-2</v>
      </c>
      <c r="I58" s="237"/>
      <c r="J58" s="297">
        <v>5384176.7800000003</v>
      </c>
      <c r="K58" s="237">
        <f>K59+K66+K103+K129+K139</f>
        <v>5660014.5199999996</v>
      </c>
      <c r="L58" s="238">
        <f t="shared" si="6"/>
        <v>275837.73999999929</v>
      </c>
      <c r="M58" s="239">
        <f t="shared" si="2"/>
        <v>5.1231181900383158E-2</v>
      </c>
      <c r="N58" s="237"/>
      <c r="O58" s="237">
        <v>10799818.289999999</v>
      </c>
      <c r="P58" s="237">
        <f>P59+P66+P103+P129+P139</f>
        <v>11556934.289999999</v>
      </c>
      <c r="Q58" s="238">
        <f>P58-O58</f>
        <v>757116</v>
      </c>
      <c r="R58" s="239">
        <f t="shared" si="4"/>
        <v>7.0104512841761904E-2</v>
      </c>
      <c r="S58" s="237"/>
      <c r="T58" s="1"/>
    </row>
    <row r="59" spans="1:20" s="2" customFormat="1" ht="46.5" customHeight="1" x14ac:dyDescent="0.2">
      <c r="A59" s="549">
        <v>2100</v>
      </c>
      <c r="B59" s="143" t="s">
        <v>111</v>
      </c>
      <c r="C59" s="140">
        <f>C60+C63</f>
        <v>5194.03</v>
      </c>
      <c r="D59" s="298">
        <v>5194.28</v>
      </c>
      <c r="E59" s="298">
        <v>2800.36</v>
      </c>
      <c r="F59" s="140">
        <f>F60+F63</f>
        <v>2800</v>
      </c>
      <c r="G59" s="141">
        <f>F59-E59</f>
        <v>-0.36000000000012733</v>
      </c>
      <c r="H59" s="142">
        <f t="shared" si="1"/>
        <v>-1.2855490008432035E-4</v>
      </c>
      <c r="I59" s="149"/>
      <c r="J59" s="298">
        <v>3800</v>
      </c>
      <c r="K59" s="140">
        <f>K60+K63</f>
        <v>4090.9</v>
      </c>
      <c r="L59" s="141">
        <f>K59-J59</f>
        <v>290.90000000000009</v>
      </c>
      <c r="M59" s="142">
        <f>IFERROR(L59/ABS(J59), "-")</f>
        <v>7.6552631578947386E-2</v>
      </c>
      <c r="N59" s="149"/>
      <c r="O59" s="140">
        <v>25194.28</v>
      </c>
      <c r="P59" s="140">
        <f>P60+P63</f>
        <v>9316.3700000000008</v>
      </c>
      <c r="Q59" s="141">
        <f t="shared" si="3"/>
        <v>-15877.909999999998</v>
      </c>
      <c r="R59" s="142">
        <f t="shared" si="4"/>
        <v>-0.63021884332475464</v>
      </c>
      <c r="S59" s="149"/>
      <c r="T59" s="1"/>
    </row>
    <row r="60" spans="1:20" s="242" customFormat="1" ht="46.5" customHeight="1" x14ac:dyDescent="0.2">
      <c r="A60" s="550">
        <v>2110</v>
      </c>
      <c r="B60" s="116" t="s">
        <v>112</v>
      </c>
      <c r="C60" s="245">
        <f>C61+C62</f>
        <v>450</v>
      </c>
      <c r="D60" s="304">
        <v>450</v>
      </c>
      <c r="E60" s="304">
        <v>0</v>
      </c>
      <c r="F60" s="245">
        <f>F61+F62</f>
        <v>0</v>
      </c>
      <c r="G60" s="245">
        <f t="shared" ref="G60:N60" si="17">G61+G62</f>
        <v>0</v>
      </c>
      <c r="H60" s="245">
        <f t="shared" si="17"/>
        <v>0</v>
      </c>
      <c r="I60" s="245">
        <f t="shared" si="17"/>
        <v>0</v>
      </c>
      <c r="J60" s="304">
        <v>0</v>
      </c>
      <c r="K60" s="245">
        <f t="shared" ref="K60" si="18">K61+K62</f>
        <v>180</v>
      </c>
      <c r="L60" s="124">
        <f t="shared" ref="L60:L65" si="19">K60-J60</f>
        <v>180</v>
      </c>
      <c r="M60" s="125" t="str">
        <f t="shared" ref="M60:M65" si="20">IFERROR(L60/ABS(J60), "-")</f>
        <v>-</v>
      </c>
      <c r="N60" s="245">
        <f t="shared" si="17"/>
        <v>0</v>
      </c>
      <c r="O60" s="245">
        <v>450</v>
      </c>
      <c r="P60" s="245">
        <f t="shared" ref="P60" si="21">P61+P62</f>
        <v>1866.61</v>
      </c>
      <c r="Q60" s="118">
        <f t="shared" si="3"/>
        <v>1416.61</v>
      </c>
      <c r="R60" s="119">
        <f t="shared" si="4"/>
        <v>3.1480222222222221</v>
      </c>
      <c r="S60" s="245"/>
      <c r="T60" s="1"/>
    </row>
    <row r="61" spans="1:20" s="242" customFormat="1" ht="46.5" customHeight="1" x14ac:dyDescent="0.2">
      <c r="A61" s="241">
        <v>2111</v>
      </c>
      <c r="B61" s="52" t="s">
        <v>113</v>
      </c>
      <c r="C61" s="245"/>
      <c r="D61" s="304">
        <v>0</v>
      </c>
      <c r="E61" s="304">
        <v>0</v>
      </c>
      <c r="F61" s="245"/>
      <c r="G61" s="118"/>
      <c r="H61" s="119"/>
      <c r="I61" s="146"/>
      <c r="J61" s="304">
        <v>0</v>
      </c>
      <c r="K61" s="245"/>
      <c r="L61" s="124">
        <f t="shared" si="19"/>
        <v>0</v>
      </c>
      <c r="M61" s="125" t="str">
        <f t="shared" si="20"/>
        <v>-</v>
      </c>
      <c r="N61" s="146"/>
      <c r="O61" s="245">
        <v>0</v>
      </c>
      <c r="P61" s="245"/>
      <c r="Q61" s="118">
        <f t="shared" si="3"/>
        <v>0</v>
      </c>
      <c r="R61" s="119" t="str">
        <f t="shared" si="4"/>
        <v>-</v>
      </c>
      <c r="S61" s="146"/>
      <c r="T61" s="1"/>
    </row>
    <row r="62" spans="1:20" s="242" customFormat="1" ht="63.75" customHeight="1" x14ac:dyDescent="0.2">
      <c r="A62" s="241">
        <v>2112</v>
      </c>
      <c r="B62" s="52" t="s">
        <v>114</v>
      </c>
      <c r="C62" s="245">
        <v>450</v>
      </c>
      <c r="D62" s="304">
        <v>450</v>
      </c>
      <c r="E62" s="304">
        <v>0</v>
      </c>
      <c r="F62" s="245">
        <v>0</v>
      </c>
      <c r="G62" s="118"/>
      <c r="H62" s="119"/>
      <c r="I62" s="146"/>
      <c r="J62" s="304">
        <v>0</v>
      </c>
      <c r="K62" s="245">
        <v>180</v>
      </c>
      <c r="L62" s="124">
        <f t="shared" si="19"/>
        <v>180</v>
      </c>
      <c r="M62" s="125" t="str">
        <f t="shared" si="20"/>
        <v>-</v>
      </c>
      <c r="N62" s="146"/>
      <c r="O62" s="245">
        <v>450</v>
      </c>
      <c r="P62" s="245">
        <v>1866.61</v>
      </c>
      <c r="Q62" s="118">
        <f t="shared" si="3"/>
        <v>1416.61</v>
      </c>
      <c r="R62" s="119">
        <f t="shared" si="4"/>
        <v>3.1480222222222221</v>
      </c>
      <c r="S62" s="566" t="s">
        <v>115</v>
      </c>
      <c r="T62" s="1"/>
    </row>
    <row r="63" spans="1:20" s="242" customFormat="1" ht="46.5" customHeight="1" x14ac:dyDescent="0.2">
      <c r="A63" s="550">
        <v>2120</v>
      </c>
      <c r="B63" s="116" t="s">
        <v>116</v>
      </c>
      <c r="C63" s="245">
        <f>C64+C65</f>
        <v>4744.03</v>
      </c>
      <c r="D63" s="304">
        <v>4744.28</v>
      </c>
      <c r="E63" s="304">
        <v>2800.36</v>
      </c>
      <c r="F63" s="245">
        <f t="shared" ref="F63:N63" si="22">F64+F65</f>
        <v>2800</v>
      </c>
      <c r="G63" s="245">
        <f t="shared" si="22"/>
        <v>0</v>
      </c>
      <c r="H63" s="245">
        <f t="shared" si="22"/>
        <v>0</v>
      </c>
      <c r="I63" s="245">
        <f t="shared" si="22"/>
        <v>0</v>
      </c>
      <c r="J63" s="304">
        <v>3800</v>
      </c>
      <c r="K63" s="245">
        <f t="shared" ref="K63" si="23">K64+K65</f>
        <v>3910.9</v>
      </c>
      <c r="L63" s="124">
        <f t="shared" si="19"/>
        <v>110.90000000000009</v>
      </c>
      <c r="M63" s="125">
        <f t="shared" si="20"/>
        <v>2.9184210526315812E-2</v>
      </c>
      <c r="N63" s="390">
        <f t="shared" si="22"/>
        <v>0</v>
      </c>
      <c r="O63" s="535">
        <v>24744</v>
      </c>
      <c r="P63" s="245">
        <f t="shared" ref="P63" si="24">P64+P65</f>
        <v>7449.76</v>
      </c>
      <c r="Q63" s="118">
        <f t="shared" si="3"/>
        <v>-17294.239999999998</v>
      </c>
      <c r="R63" s="119">
        <f t="shared" si="4"/>
        <v>-0.69892660847074028</v>
      </c>
      <c r="S63" s="245"/>
      <c r="T63" s="1"/>
    </row>
    <row r="64" spans="1:20" s="242" customFormat="1" ht="46.5" customHeight="1" x14ac:dyDescent="0.2">
      <c r="A64" s="241">
        <v>2121</v>
      </c>
      <c r="B64" s="52" t="s">
        <v>113</v>
      </c>
      <c r="C64" s="245"/>
      <c r="D64" s="304">
        <v>0</v>
      </c>
      <c r="E64" s="304">
        <v>0</v>
      </c>
      <c r="F64" s="245"/>
      <c r="G64" s="118"/>
      <c r="H64" s="119"/>
      <c r="I64" s="146"/>
      <c r="J64" s="304">
        <v>0</v>
      </c>
      <c r="K64" s="245"/>
      <c r="L64" s="124">
        <f t="shared" si="19"/>
        <v>0</v>
      </c>
      <c r="M64" s="125" t="str">
        <f t="shared" si="20"/>
        <v>-</v>
      </c>
      <c r="N64" s="146"/>
      <c r="O64" s="245">
        <v>0</v>
      </c>
      <c r="P64" s="245">
        <v>240</v>
      </c>
      <c r="Q64" s="118">
        <f t="shared" si="3"/>
        <v>240</v>
      </c>
      <c r="R64" s="119" t="str">
        <f t="shared" si="4"/>
        <v>-</v>
      </c>
      <c r="S64" s="146"/>
      <c r="T64" s="1"/>
    </row>
    <row r="65" spans="1:20" s="242" customFormat="1" ht="46.5" customHeight="1" x14ac:dyDescent="0.2">
      <c r="A65" s="241">
        <v>2122</v>
      </c>
      <c r="B65" s="52" t="s">
        <v>114</v>
      </c>
      <c r="C65" s="245">
        <v>4744.03</v>
      </c>
      <c r="D65" s="304">
        <f>4744.28</f>
        <v>4744.28</v>
      </c>
      <c r="E65" s="304">
        <v>2800</v>
      </c>
      <c r="F65" s="245">
        <v>2800</v>
      </c>
      <c r="G65" s="118"/>
      <c r="H65" s="119"/>
      <c r="I65" s="146"/>
      <c r="J65" s="304">
        <v>3800</v>
      </c>
      <c r="K65" s="245">
        <f>520.54+3390.36</f>
        <v>3910.9</v>
      </c>
      <c r="L65" s="124">
        <f t="shared" si="19"/>
        <v>110.90000000000009</v>
      </c>
      <c r="M65" s="125">
        <f t="shared" si="20"/>
        <v>2.9184210526315812E-2</v>
      </c>
      <c r="N65" s="146"/>
      <c r="O65" s="245">
        <f>4744.28+20000</f>
        <v>24744.28</v>
      </c>
      <c r="P65" s="245">
        <v>7209.76</v>
      </c>
      <c r="Q65" s="118">
        <f t="shared" si="3"/>
        <v>-17534.519999999997</v>
      </c>
      <c r="R65" s="119">
        <f t="shared" si="4"/>
        <v>-0.70862922663338745</v>
      </c>
      <c r="S65" s="566" t="s">
        <v>117</v>
      </c>
      <c r="T65" s="1"/>
    </row>
    <row r="66" spans="1:20" s="2" customFormat="1" ht="46.5" customHeight="1" x14ac:dyDescent="0.2">
      <c r="A66" s="549">
        <v>2200</v>
      </c>
      <c r="B66" s="145" t="s">
        <v>118</v>
      </c>
      <c r="C66" s="298">
        <f t="shared" ref="C66" si="25">C67+C68+C74+C82+C89+C90+C96+C102</f>
        <v>1918515.94</v>
      </c>
      <c r="D66" s="298">
        <v>2036457.8</v>
      </c>
      <c r="E66" s="298">
        <v>585862.92000000004</v>
      </c>
      <c r="F66" s="298">
        <f>F67+F68+F74+F82+F89+F90+F96+F102</f>
        <v>519678.27000000008</v>
      </c>
      <c r="G66" s="141">
        <f t="shared" si="0"/>
        <v>-66184.649999999965</v>
      </c>
      <c r="H66" s="142">
        <f t="shared" si="1"/>
        <v>-0.11296951512138703</v>
      </c>
      <c r="I66" s="149"/>
      <c r="J66" s="298">
        <v>1081482.55</v>
      </c>
      <c r="K66" s="298">
        <f>K67+K68+K74+K82+K89+K90+K96+K102</f>
        <v>949868.93</v>
      </c>
      <c r="L66" s="141">
        <f t="shared" si="6"/>
        <v>-131613.62</v>
      </c>
      <c r="M66" s="142">
        <f t="shared" si="2"/>
        <v>-0.12169740510376241</v>
      </c>
      <c r="N66" s="149"/>
      <c r="O66" s="298">
        <v>2036457.8</v>
      </c>
      <c r="P66" s="298">
        <f>P67+P68+P74+P82+P89+P90+P96+P102</f>
        <v>1974491.37</v>
      </c>
      <c r="Q66" s="141">
        <f t="shared" si="3"/>
        <v>-61966.429999999935</v>
      </c>
      <c r="R66" s="142">
        <f t="shared" si="4"/>
        <v>-3.0428536255452939E-2</v>
      </c>
      <c r="S66" s="149"/>
      <c r="T66" s="1"/>
    </row>
    <row r="67" spans="1:20" s="242" customFormat="1" ht="46.5" customHeight="1" x14ac:dyDescent="0.2">
      <c r="A67" s="550">
        <v>2210</v>
      </c>
      <c r="B67" s="134" t="s">
        <v>119</v>
      </c>
      <c r="C67" s="301">
        <v>12065.14</v>
      </c>
      <c r="D67" s="301">
        <v>12065.310000000001</v>
      </c>
      <c r="E67" s="301">
        <v>3558.5899999999997</v>
      </c>
      <c r="F67" s="301">
        <v>3320.71</v>
      </c>
      <c r="G67" s="118">
        <f t="shared" si="0"/>
        <v>-237.87999999999965</v>
      </c>
      <c r="H67" s="119">
        <f t="shared" si="1"/>
        <v>-6.6846700519025706E-2</v>
      </c>
      <c r="I67" s="247"/>
      <c r="J67" s="301">
        <v>6471.79</v>
      </c>
      <c r="K67" s="301">
        <v>5984.81</v>
      </c>
      <c r="L67" s="118">
        <f t="shared" si="6"/>
        <v>-486.97999999999956</v>
      </c>
      <c r="M67" s="119">
        <f t="shared" si="2"/>
        <v>-7.5246570114295974E-2</v>
      </c>
      <c r="N67" s="247"/>
      <c r="O67" s="301">
        <v>12065.310000000001</v>
      </c>
      <c r="P67" s="301">
        <v>11946.06</v>
      </c>
      <c r="Q67" s="118">
        <f t="shared" si="3"/>
        <v>-119.25000000000182</v>
      </c>
      <c r="R67" s="119">
        <f t="shared" si="4"/>
        <v>-9.8837079196474695E-3</v>
      </c>
      <c r="S67" s="247"/>
      <c r="T67" s="1"/>
    </row>
    <row r="68" spans="1:20" s="242" customFormat="1" ht="46.5" customHeight="1" x14ac:dyDescent="0.2">
      <c r="A68" s="550">
        <v>2220</v>
      </c>
      <c r="B68" s="131" t="s">
        <v>120</v>
      </c>
      <c r="C68" s="304">
        <f t="shared" ref="C68" si="26">SUM(C69:C73)</f>
        <v>789098.91</v>
      </c>
      <c r="D68" s="304">
        <v>766333.11</v>
      </c>
      <c r="E68" s="304">
        <v>303321.73000000004</v>
      </c>
      <c r="F68" s="304">
        <f>SUM(F69:F73)</f>
        <v>225864.69</v>
      </c>
      <c r="G68" s="118">
        <f t="shared" ref="G68:G131" si="27">F68-E68</f>
        <v>-77457.040000000037</v>
      </c>
      <c r="H68" s="119">
        <f t="shared" ref="H68:H131" si="28">IFERROR(G68/ABS(E68), "-")</f>
        <v>-0.25536264744368964</v>
      </c>
      <c r="I68" s="720" t="s">
        <v>121</v>
      </c>
      <c r="J68" s="304">
        <v>454217.16000000003</v>
      </c>
      <c r="K68" s="304">
        <f>SUM(K69:K73)</f>
        <v>345638.44</v>
      </c>
      <c r="L68" s="118">
        <f t="shared" si="6"/>
        <v>-108578.72000000003</v>
      </c>
      <c r="M68" s="119">
        <f t="shared" si="2"/>
        <v>-0.2390458343757863</v>
      </c>
      <c r="N68" s="717" t="s">
        <v>122</v>
      </c>
      <c r="O68" s="304">
        <v>766333.11</v>
      </c>
      <c r="P68" s="304">
        <f>SUM(P69:P73)</f>
        <v>628599.46</v>
      </c>
      <c r="Q68" s="118">
        <f t="shared" si="3"/>
        <v>-137733.65000000002</v>
      </c>
      <c r="R68" s="119">
        <f t="shared" si="4"/>
        <v>-0.17973078313163321</v>
      </c>
      <c r="S68" s="736" t="s">
        <v>123</v>
      </c>
      <c r="T68" s="1"/>
    </row>
    <row r="69" spans="1:20" s="2" customFormat="1" ht="46.5" customHeight="1" x14ac:dyDescent="0.2">
      <c r="A69" s="241">
        <v>2221</v>
      </c>
      <c r="B69" s="128" t="s">
        <v>124</v>
      </c>
      <c r="C69" s="111">
        <v>443733.66</v>
      </c>
      <c r="D69" s="299">
        <v>405969.52</v>
      </c>
      <c r="E69" s="299">
        <v>210051.75</v>
      </c>
      <c r="F69" s="299">
        <v>128220.79</v>
      </c>
      <c r="G69" s="112">
        <f t="shared" si="27"/>
        <v>-81830.960000000006</v>
      </c>
      <c r="H69" s="113">
        <f t="shared" si="28"/>
        <v>-0.38957523562645874</v>
      </c>
      <c r="I69" s="718"/>
      <c r="J69" s="299">
        <v>285281.88</v>
      </c>
      <c r="K69" s="299">
        <v>167078.35</v>
      </c>
      <c r="L69" s="112">
        <f t="shared" si="6"/>
        <v>-118203.53</v>
      </c>
      <c r="M69" s="113">
        <f t="shared" si="2"/>
        <v>-0.41433942457193562</v>
      </c>
      <c r="N69" s="718"/>
      <c r="O69" s="299">
        <v>405969.52</v>
      </c>
      <c r="P69" s="299">
        <v>258817.39</v>
      </c>
      <c r="Q69" s="112">
        <f t="shared" si="3"/>
        <v>-147152.13</v>
      </c>
      <c r="R69" s="113">
        <f t="shared" si="4"/>
        <v>-0.36247088205045541</v>
      </c>
      <c r="S69" s="737"/>
      <c r="T69" s="1"/>
    </row>
    <row r="70" spans="1:20" s="3" customFormat="1" ht="46.5" customHeight="1" x14ac:dyDescent="0.2">
      <c r="A70" s="241">
        <v>2222</v>
      </c>
      <c r="B70" s="128" t="s">
        <v>125</v>
      </c>
      <c r="C70" s="111">
        <v>40600.949999999997</v>
      </c>
      <c r="D70" s="299">
        <v>40715.420000000006</v>
      </c>
      <c r="E70" s="299">
        <v>10968.34</v>
      </c>
      <c r="F70" s="111">
        <v>10684.41</v>
      </c>
      <c r="G70" s="112">
        <f t="shared" si="27"/>
        <v>-283.93000000000029</v>
      </c>
      <c r="H70" s="113">
        <f t="shared" si="28"/>
        <v>-2.5886323728112028E-2</v>
      </c>
      <c r="I70" s="718"/>
      <c r="J70" s="299">
        <v>21559.520000000004</v>
      </c>
      <c r="K70" s="111">
        <v>22172.28</v>
      </c>
      <c r="L70" s="112">
        <f t="shared" ref="L70:L134" si="29">K70-J70</f>
        <v>612.75999999999476</v>
      </c>
      <c r="M70" s="113">
        <f t="shared" ref="M70:M134" si="30">IFERROR(L70/ABS(J70), "-")</f>
        <v>2.8421783045262355E-2</v>
      </c>
      <c r="N70" s="718"/>
      <c r="O70" s="299">
        <v>40715.420000000006</v>
      </c>
      <c r="P70" s="111">
        <v>45252.99</v>
      </c>
      <c r="Q70" s="112">
        <f t="shared" ref="Q70:Q134" si="31">P70-O70</f>
        <v>4537.5699999999924</v>
      </c>
      <c r="R70" s="113">
        <f t="shared" ref="R70:R134" si="32">IFERROR(Q70/ABS(O70), "-")</f>
        <v>0.11144598287331904</v>
      </c>
      <c r="S70" s="737"/>
      <c r="T70" s="1"/>
    </row>
    <row r="71" spans="1:20" s="2" customFormat="1" ht="46.5" customHeight="1" x14ac:dyDescent="0.2">
      <c r="A71" s="241">
        <v>2223</v>
      </c>
      <c r="B71" s="128" t="s">
        <v>126</v>
      </c>
      <c r="C71" s="111">
        <v>220367.02</v>
      </c>
      <c r="D71" s="299">
        <v>234472.52999999997</v>
      </c>
      <c r="E71" s="299">
        <v>60338.86</v>
      </c>
      <c r="F71" s="111">
        <v>64315.54</v>
      </c>
      <c r="G71" s="112">
        <f t="shared" si="27"/>
        <v>3976.6800000000003</v>
      </c>
      <c r="H71" s="113">
        <f t="shared" si="28"/>
        <v>6.5905786088766016E-2</v>
      </c>
      <c r="I71" s="718"/>
      <c r="J71" s="299">
        <v>105299.15</v>
      </c>
      <c r="K71" s="111">
        <v>112922.77</v>
      </c>
      <c r="L71" s="112">
        <f t="shared" si="29"/>
        <v>7623.6200000000099</v>
      </c>
      <c r="M71" s="113">
        <f t="shared" si="30"/>
        <v>7.2399634754886533E-2</v>
      </c>
      <c r="N71" s="718"/>
      <c r="O71" s="300">
        <v>234472.52999999997</v>
      </c>
      <c r="P71" s="111">
        <v>234811.12</v>
      </c>
      <c r="Q71" s="112">
        <f t="shared" si="31"/>
        <v>338.59000000002561</v>
      </c>
      <c r="R71" s="113">
        <f t="shared" si="32"/>
        <v>1.4440497571294414E-3</v>
      </c>
      <c r="S71" s="737"/>
      <c r="T71" s="1"/>
    </row>
    <row r="72" spans="1:20" s="2" customFormat="1" ht="46.5" customHeight="1" x14ac:dyDescent="0.2">
      <c r="A72" s="241">
        <v>2224</v>
      </c>
      <c r="B72" s="128" t="s">
        <v>127</v>
      </c>
      <c r="C72" s="111">
        <v>84397.28</v>
      </c>
      <c r="D72" s="299">
        <v>85175.64</v>
      </c>
      <c r="E72" s="299">
        <v>21962.78</v>
      </c>
      <c r="F72" s="111">
        <f>18860.95+3783</f>
        <v>22643.95</v>
      </c>
      <c r="G72" s="112">
        <f t="shared" si="27"/>
        <v>681.17000000000189</v>
      </c>
      <c r="H72" s="113">
        <f t="shared" si="28"/>
        <v>3.1014744035135895E-2</v>
      </c>
      <c r="I72" s="718"/>
      <c r="J72" s="299">
        <v>42076.61</v>
      </c>
      <c r="K72" s="111">
        <v>43465.04</v>
      </c>
      <c r="L72" s="112">
        <f t="shared" si="29"/>
        <v>1388.4300000000003</v>
      </c>
      <c r="M72" s="113">
        <f t="shared" si="30"/>
        <v>3.2997667825426055E-2</v>
      </c>
      <c r="N72" s="718"/>
      <c r="O72" s="299">
        <v>85175.64</v>
      </c>
      <c r="P72" s="111">
        <v>89717.96</v>
      </c>
      <c r="Q72" s="112">
        <f t="shared" si="31"/>
        <v>4542.320000000007</v>
      </c>
      <c r="R72" s="113">
        <f t="shared" si="32"/>
        <v>5.3328862571505271E-2</v>
      </c>
      <c r="S72" s="737"/>
      <c r="T72" s="1"/>
    </row>
    <row r="73" spans="1:20" s="2" customFormat="1" ht="46.5" customHeight="1" x14ac:dyDescent="0.2">
      <c r="A73" s="241">
        <v>2229</v>
      </c>
      <c r="B73" s="128" t="s">
        <v>128</v>
      </c>
      <c r="C73" s="111"/>
      <c r="D73" s="299">
        <v>0</v>
      </c>
      <c r="E73" s="299">
        <v>0</v>
      </c>
      <c r="F73" s="111"/>
      <c r="G73" s="112">
        <f t="shared" si="27"/>
        <v>0</v>
      </c>
      <c r="H73" s="113" t="str">
        <f t="shared" si="28"/>
        <v>-</v>
      </c>
      <c r="I73" s="719"/>
      <c r="J73" s="299">
        <v>0</v>
      </c>
      <c r="K73" s="111"/>
      <c r="L73" s="112">
        <f t="shared" si="29"/>
        <v>0</v>
      </c>
      <c r="M73" s="113" t="str">
        <f t="shared" si="30"/>
        <v>-</v>
      </c>
      <c r="N73" s="719"/>
      <c r="O73" s="299">
        <v>0</v>
      </c>
      <c r="P73" s="111"/>
      <c r="Q73" s="112">
        <f t="shared" si="31"/>
        <v>0</v>
      </c>
      <c r="R73" s="113" t="str">
        <f t="shared" si="32"/>
        <v>-</v>
      </c>
      <c r="S73" s="738"/>
      <c r="T73" s="1"/>
    </row>
    <row r="74" spans="1:20" s="242" customFormat="1" ht="46.5" customHeight="1" x14ac:dyDescent="0.2">
      <c r="A74" s="550">
        <v>2230</v>
      </c>
      <c r="B74" s="131" t="s">
        <v>129</v>
      </c>
      <c r="C74" s="236">
        <f t="shared" ref="C74" si="33">SUM(C75:C81)</f>
        <v>514129.87</v>
      </c>
      <c r="D74" s="304">
        <v>516508.50999999995</v>
      </c>
      <c r="E74" s="304">
        <v>118200.04</v>
      </c>
      <c r="F74" s="304">
        <f>SUM(F75:F81)</f>
        <v>137933.87</v>
      </c>
      <c r="G74" s="118">
        <f t="shared" si="27"/>
        <v>19733.830000000002</v>
      </c>
      <c r="H74" s="119">
        <f t="shared" si="28"/>
        <v>0.16695281998212524</v>
      </c>
      <c r="I74" s="717" t="s">
        <v>130</v>
      </c>
      <c r="J74" s="304">
        <v>236865.27</v>
      </c>
      <c r="K74" s="304">
        <f>SUM(K75:K81)</f>
        <v>268646.62</v>
      </c>
      <c r="L74" s="118">
        <f t="shared" si="29"/>
        <v>31781.350000000006</v>
      </c>
      <c r="M74" s="119">
        <f t="shared" si="30"/>
        <v>0.13417479903237822</v>
      </c>
      <c r="N74" s="717" t="s">
        <v>131</v>
      </c>
      <c r="O74" s="304">
        <v>516508.50999999995</v>
      </c>
      <c r="P74" s="304">
        <f>SUM(P75:P81)</f>
        <v>575805</v>
      </c>
      <c r="Q74" s="118">
        <f t="shared" si="31"/>
        <v>59296.490000000049</v>
      </c>
      <c r="R74" s="119">
        <f t="shared" si="32"/>
        <v>0.11480254216915042</v>
      </c>
      <c r="S74" s="728" t="s">
        <v>132</v>
      </c>
      <c r="T74" s="1"/>
    </row>
    <row r="75" spans="1:20" s="3" customFormat="1" ht="46.5" customHeight="1" x14ac:dyDescent="0.2">
      <c r="A75" s="241">
        <v>2231</v>
      </c>
      <c r="B75" s="128" t="s">
        <v>133</v>
      </c>
      <c r="C75" s="111"/>
      <c r="D75" s="299">
        <v>0</v>
      </c>
      <c r="E75" s="299">
        <v>0</v>
      </c>
      <c r="F75" s="299"/>
      <c r="G75" s="112">
        <f t="shared" si="27"/>
        <v>0</v>
      </c>
      <c r="H75" s="113" t="str">
        <f t="shared" si="28"/>
        <v>-</v>
      </c>
      <c r="I75" s="718"/>
      <c r="J75" s="299">
        <v>0</v>
      </c>
      <c r="K75" s="299"/>
      <c r="L75" s="112">
        <f t="shared" si="29"/>
        <v>0</v>
      </c>
      <c r="M75" s="113" t="str">
        <f t="shared" si="30"/>
        <v>-</v>
      </c>
      <c r="N75" s="718"/>
      <c r="O75" s="299">
        <v>0</v>
      </c>
      <c r="P75" s="299"/>
      <c r="Q75" s="112">
        <f t="shared" si="31"/>
        <v>0</v>
      </c>
      <c r="R75" s="113" t="str">
        <f t="shared" si="32"/>
        <v>-</v>
      </c>
      <c r="S75" s="729"/>
      <c r="T75" s="1"/>
    </row>
    <row r="76" spans="1:20" s="2" customFormat="1" ht="46.5" customHeight="1" x14ac:dyDescent="0.2">
      <c r="A76" s="241">
        <v>2232</v>
      </c>
      <c r="B76" s="128" t="s">
        <v>134</v>
      </c>
      <c r="C76" s="111"/>
      <c r="D76" s="299">
        <v>0</v>
      </c>
      <c r="E76" s="299">
        <v>0</v>
      </c>
      <c r="F76" s="299"/>
      <c r="G76" s="112">
        <f t="shared" si="27"/>
        <v>0</v>
      </c>
      <c r="H76" s="113" t="str">
        <f t="shared" si="28"/>
        <v>-</v>
      </c>
      <c r="I76" s="718"/>
      <c r="J76" s="299">
        <v>0</v>
      </c>
      <c r="K76" s="299"/>
      <c r="L76" s="112">
        <f t="shared" si="29"/>
        <v>0</v>
      </c>
      <c r="M76" s="113" t="str">
        <f t="shared" si="30"/>
        <v>-</v>
      </c>
      <c r="N76" s="718"/>
      <c r="O76" s="299">
        <v>0</v>
      </c>
      <c r="P76" s="299"/>
      <c r="Q76" s="112">
        <f t="shared" si="31"/>
        <v>0</v>
      </c>
      <c r="R76" s="113" t="str">
        <f t="shared" si="32"/>
        <v>-</v>
      </c>
      <c r="S76" s="729"/>
      <c r="T76" s="1"/>
    </row>
    <row r="77" spans="1:20" s="2" customFormat="1" ht="46.5" customHeight="1" x14ac:dyDescent="0.2">
      <c r="A77" s="241">
        <v>2233</v>
      </c>
      <c r="B77" s="128" t="s">
        <v>135</v>
      </c>
      <c r="C77" s="111">
        <v>17727.82</v>
      </c>
      <c r="D77" s="299">
        <v>20027.64</v>
      </c>
      <c r="E77" s="299">
        <v>4977.38</v>
      </c>
      <c r="F77" s="299">
        <f>8396.87+147.21</f>
        <v>8544.08</v>
      </c>
      <c r="G77" s="112">
        <f t="shared" si="27"/>
        <v>3566.7</v>
      </c>
      <c r="H77" s="113">
        <f t="shared" si="28"/>
        <v>0.71658181613620009</v>
      </c>
      <c r="I77" s="718"/>
      <c r="J77" s="299">
        <v>5702.0999999999995</v>
      </c>
      <c r="K77" s="299">
        <v>11465.15</v>
      </c>
      <c r="L77" s="112">
        <f t="shared" si="29"/>
        <v>5763.05</v>
      </c>
      <c r="M77" s="113">
        <f t="shared" si="30"/>
        <v>1.0106890443871557</v>
      </c>
      <c r="N77" s="718"/>
      <c r="O77" s="299">
        <v>20027.64</v>
      </c>
      <c r="P77" s="299">
        <f>23777.6+4.96</f>
        <v>23782.559999999998</v>
      </c>
      <c r="Q77" s="112">
        <f t="shared" si="31"/>
        <v>3754.9199999999983</v>
      </c>
      <c r="R77" s="113">
        <f t="shared" si="32"/>
        <v>0.18748689311371677</v>
      </c>
      <c r="S77" s="729"/>
      <c r="T77" s="1"/>
    </row>
    <row r="78" spans="1:20" s="2" customFormat="1" ht="46.5" customHeight="1" x14ac:dyDescent="0.2">
      <c r="A78" s="241">
        <v>2234</v>
      </c>
      <c r="B78" s="128" t="s">
        <v>136</v>
      </c>
      <c r="C78" s="111"/>
      <c r="D78" s="299">
        <v>0</v>
      </c>
      <c r="E78" s="299">
        <v>0</v>
      </c>
      <c r="F78" s="299"/>
      <c r="G78" s="112">
        <f t="shared" si="27"/>
        <v>0</v>
      </c>
      <c r="H78" s="113" t="str">
        <f t="shared" si="28"/>
        <v>-</v>
      </c>
      <c r="I78" s="718"/>
      <c r="J78" s="299">
        <v>0</v>
      </c>
      <c r="K78" s="299"/>
      <c r="L78" s="112">
        <f t="shared" si="29"/>
        <v>0</v>
      </c>
      <c r="M78" s="113" t="str">
        <f t="shared" si="30"/>
        <v>-</v>
      </c>
      <c r="N78" s="718"/>
      <c r="O78" s="299">
        <v>0</v>
      </c>
      <c r="P78" s="299"/>
      <c r="Q78" s="112">
        <f t="shared" si="31"/>
        <v>0</v>
      </c>
      <c r="R78" s="113" t="str">
        <f t="shared" si="32"/>
        <v>-</v>
      </c>
      <c r="S78" s="729"/>
      <c r="T78" s="1"/>
    </row>
    <row r="79" spans="1:20" s="2" customFormat="1" ht="46.5" customHeight="1" x14ac:dyDescent="0.2">
      <c r="A79" s="241">
        <v>2235</v>
      </c>
      <c r="B79" s="128" t="s">
        <v>137</v>
      </c>
      <c r="C79" s="111">
        <v>9184.1200000000008</v>
      </c>
      <c r="D79" s="299">
        <v>9184.39</v>
      </c>
      <c r="E79" s="299">
        <v>630</v>
      </c>
      <c r="F79" s="299">
        <v>2853.8</v>
      </c>
      <c r="G79" s="112">
        <f t="shared" si="27"/>
        <v>2223.8000000000002</v>
      </c>
      <c r="H79" s="113">
        <f t="shared" si="28"/>
        <v>3.52984126984127</v>
      </c>
      <c r="I79" s="718"/>
      <c r="J79" s="299">
        <v>1984.37</v>
      </c>
      <c r="K79" s="299">
        <v>4188.55</v>
      </c>
      <c r="L79" s="112">
        <f t="shared" si="29"/>
        <v>2204.1800000000003</v>
      </c>
      <c r="M79" s="113">
        <f t="shared" si="30"/>
        <v>1.1107706728079947</v>
      </c>
      <c r="N79" s="718"/>
      <c r="O79" s="300">
        <v>9184.39</v>
      </c>
      <c r="P79" s="299">
        <v>10525.29</v>
      </c>
      <c r="Q79" s="112">
        <f t="shared" si="31"/>
        <v>1340.9000000000015</v>
      </c>
      <c r="R79" s="113">
        <f t="shared" si="32"/>
        <v>0.14599772004455402</v>
      </c>
      <c r="S79" s="729"/>
      <c r="T79" s="1"/>
    </row>
    <row r="80" spans="1:20" s="2" customFormat="1" ht="46.5" customHeight="1" x14ac:dyDescent="0.2">
      <c r="A80" s="241">
        <v>2236</v>
      </c>
      <c r="B80" s="128" t="s">
        <v>138</v>
      </c>
      <c r="C80" s="111">
        <v>8522.59</v>
      </c>
      <c r="D80" s="299">
        <v>8522.98</v>
      </c>
      <c r="E80" s="299">
        <v>2110.41</v>
      </c>
      <c r="F80" s="299">
        <v>2204.96</v>
      </c>
      <c r="G80" s="112">
        <f t="shared" si="27"/>
        <v>94.550000000000182</v>
      </c>
      <c r="H80" s="113">
        <f t="shared" si="28"/>
        <v>4.4801720992603419E-2</v>
      </c>
      <c r="I80" s="718"/>
      <c r="J80" s="299">
        <v>4236.8099999999995</v>
      </c>
      <c r="K80" s="299">
        <v>4211.99</v>
      </c>
      <c r="L80" s="112">
        <f t="shared" si="29"/>
        <v>-24.819999999999709</v>
      </c>
      <c r="M80" s="113">
        <f t="shared" si="30"/>
        <v>-5.8581810371481635E-3</v>
      </c>
      <c r="N80" s="718"/>
      <c r="O80" s="299">
        <v>8522.98</v>
      </c>
      <c r="P80" s="299">
        <v>8305.83</v>
      </c>
      <c r="Q80" s="112">
        <f t="shared" si="31"/>
        <v>-217.14999999999964</v>
      </c>
      <c r="R80" s="113">
        <f t="shared" si="32"/>
        <v>-2.5478177820433656E-2</v>
      </c>
      <c r="S80" s="729"/>
      <c r="T80" s="1"/>
    </row>
    <row r="81" spans="1:20" s="2" customFormat="1" ht="46.5" customHeight="1" x14ac:dyDescent="0.2">
      <c r="A81" s="241">
        <v>2239</v>
      </c>
      <c r="B81" s="128" t="s">
        <v>139</v>
      </c>
      <c r="C81" s="111">
        <f>478682.73+6.61+6</f>
        <v>478695.33999999997</v>
      </c>
      <c r="D81" s="299">
        <f>478773.5-20000</f>
        <v>458773.5</v>
      </c>
      <c r="E81" s="299">
        <f>110482.25-5000</f>
        <v>105482.25</v>
      </c>
      <c r="F81" s="299">
        <v>124331.03</v>
      </c>
      <c r="G81" s="112">
        <f t="shared" si="27"/>
        <v>18848.78</v>
      </c>
      <c r="H81" s="113">
        <f t="shared" si="28"/>
        <v>0.17869148600830945</v>
      </c>
      <c r="I81" s="719"/>
      <c r="J81" s="299">
        <f>224941.99-10000</f>
        <v>214941.99</v>
      </c>
      <c r="K81" s="299">
        <v>248780.93</v>
      </c>
      <c r="L81" s="112">
        <f t="shared" si="29"/>
        <v>33838.94</v>
      </c>
      <c r="M81" s="113">
        <f t="shared" si="30"/>
        <v>0.15743289619678316</v>
      </c>
      <c r="N81" s="719"/>
      <c r="O81" s="299">
        <f>478773.5-20000</f>
        <v>458773.5</v>
      </c>
      <c r="P81" s="299">
        <f>528351.6+15.49+4824.23</f>
        <v>533191.31999999995</v>
      </c>
      <c r="Q81" s="112">
        <f t="shared" si="31"/>
        <v>74417.819999999949</v>
      </c>
      <c r="R81" s="113">
        <f t="shared" si="32"/>
        <v>0.16221037178476949</v>
      </c>
      <c r="S81" s="730"/>
      <c r="T81" s="1"/>
    </row>
    <row r="82" spans="1:20" s="248" customFormat="1" ht="46.5" customHeight="1" x14ac:dyDescent="0.2">
      <c r="A82" s="550">
        <v>2240</v>
      </c>
      <c r="B82" s="131" t="s">
        <v>140</v>
      </c>
      <c r="C82" s="304">
        <f t="shared" ref="C82" si="34">SUM(C83:C88)</f>
        <v>318030.06</v>
      </c>
      <c r="D82" s="304">
        <v>450530.24</v>
      </c>
      <c r="E82" s="304">
        <v>86244.23000000001</v>
      </c>
      <c r="F82" s="304">
        <f>SUM(F83:F88)</f>
        <v>74522.2</v>
      </c>
      <c r="G82" s="118">
        <f t="shared" si="27"/>
        <v>-11722.030000000013</v>
      </c>
      <c r="H82" s="119">
        <f t="shared" si="28"/>
        <v>-0.13591668683226707</v>
      </c>
      <c r="I82" s="721" t="s">
        <v>141</v>
      </c>
      <c r="J82" s="304">
        <v>228285.19</v>
      </c>
      <c r="K82" s="304">
        <f>SUM(K83:K88)</f>
        <v>162457.73000000001</v>
      </c>
      <c r="L82" s="118">
        <f t="shared" si="29"/>
        <v>-65827.459999999992</v>
      </c>
      <c r="M82" s="119">
        <f t="shared" si="30"/>
        <v>-0.28835624422241318</v>
      </c>
      <c r="N82" s="717" t="s">
        <v>142</v>
      </c>
      <c r="O82" s="304">
        <v>450530.24</v>
      </c>
      <c r="P82" s="304">
        <f>SUM(P83:P88)</f>
        <v>453751.93</v>
      </c>
      <c r="Q82" s="118">
        <f t="shared" si="31"/>
        <v>3221.6900000000023</v>
      </c>
      <c r="R82" s="119">
        <f t="shared" si="32"/>
        <v>7.1508851436920245E-3</v>
      </c>
      <c r="S82" s="728" t="s">
        <v>143</v>
      </c>
      <c r="T82" s="1"/>
    </row>
    <row r="83" spans="1:20" s="2" customFormat="1" ht="46.5" customHeight="1" x14ac:dyDescent="0.2">
      <c r="A83" s="241">
        <v>2241</v>
      </c>
      <c r="B83" s="128" t="s">
        <v>144</v>
      </c>
      <c r="C83" s="299"/>
      <c r="D83" s="299">
        <v>0</v>
      </c>
      <c r="E83" s="299">
        <v>0</v>
      </c>
      <c r="F83" s="111">
        <v>6828.96</v>
      </c>
      <c r="G83" s="112">
        <f t="shared" si="27"/>
        <v>6828.96</v>
      </c>
      <c r="H83" s="113" t="str">
        <f t="shared" si="28"/>
        <v>-</v>
      </c>
      <c r="I83" s="718"/>
      <c r="J83" s="299">
        <v>0</v>
      </c>
      <c r="K83" s="111">
        <v>7833.32</v>
      </c>
      <c r="L83" s="112">
        <f t="shared" si="29"/>
        <v>7833.32</v>
      </c>
      <c r="M83" s="113" t="str">
        <f t="shared" si="30"/>
        <v>-</v>
      </c>
      <c r="N83" s="718"/>
      <c r="O83" s="300">
        <v>0</v>
      </c>
      <c r="P83" s="111">
        <v>85687.09</v>
      </c>
      <c r="Q83" s="112">
        <f t="shared" si="31"/>
        <v>85687.09</v>
      </c>
      <c r="R83" s="113" t="str">
        <f t="shared" si="32"/>
        <v>-</v>
      </c>
      <c r="S83" s="729"/>
      <c r="T83" s="1"/>
    </row>
    <row r="84" spans="1:20" s="2" customFormat="1" ht="46.5" customHeight="1" x14ac:dyDescent="0.2">
      <c r="A84" s="241">
        <v>2242</v>
      </c>
      <c r="B84" s="128" t="s">
        <v>145</v>
      </c>
      <c r="C84" s="299">
        <v>1385.92</v>
      </c>
      <c r="D84" s="299">
        <v>1386.02</v>
      </c>
      <c r="E84" s="299">
        <v>65.150000000000006</v>
      </c>
      <c r="F84" s="115">
        <v>99.9</v>
      </c>
      <c r="G84" s="129">
        <f t="shared" si="27"/>
        <v>34.75</v>
      </c>
      <c r="H84" s="130">
        <f t="shared" si="28"/>
        <v>0.53338449731389093</v>
      </c>
      <c r="I84" s="718"/>
      <c r="J84" s="299">
        <v>721.99</v>
      </c>
      <c r="K84" s="115">
        <v>2008.89</v>
      </c>
      <c r="L84" s="129">
        <f t="shared" si="29"/>
        <v>1286.9000000000001</v>
      </c>
      <c r="M84" s="130">
        <f t="shared" si="30"/>
        <v>1.7824346597598306</v>
      </c>
      <c r="N84" s="718"/>
      <c r="O84" s="300">
        <v>1386.02</v>
      </c>
      <c r="P84" s="115">
        <v>3312.29</v>
      </c>
      <c r="Q84" s="112">
        <f t="shared" si="31"/>
        <v>1926.27</v>
      </c>
      <c r="R84" s="113">
        <f t="shared" si="32"/>
        <v>1.3897851401855672</v>
      </c>
      <c r="S84" s="729"/>
      <c r="T84" s="1"/>
    </row>
    <row r="85" spans="1:20" s="2" customFormat="1" ht="46.5" customHeight="1" x14ac:dyDescent="0.2">
      <c r="A85" s="241">
        <v>2243</v>
      </c>
      <c r="B85" s="128" t="s">
        <v>146</v>
      </c>
      <c r="C85" s="299">
        <v>179847.33</v>
      </c>
      <c r="D85" s="299">
        <v>192347</v>
      </c>
      <c r="E85" s="299">
        <v>26337.97</v>
      </c>
      <c r="F85" s="111">
        <v>17615.55</v>
      </c>
      <c r="G85" s="112">
        <f t="shared" si="27"/>
        <v>-8722.4200000000019</v>
      </c>
      <c r="H85" s="113">
        <f t="shared" si="28"/>
        <v>-0.33117282767046974</v>
      </c>
      <c r="I85" s="718"/>
      <c r="J85" s="299">
        <v>92061.48</v>
      </c>
      <c r="K85" s="111">
        <v>73257.67</v>
      </c>
      <c r="L85" s="112">
        <f t="shared" si="29"/>
        <v>-18803.809999999998</v>
      </c>
      <c r="M85" s="113">
        <f t="shared" si="30"/>
        <v>-0.20425274501344101</v>
      </c>
      <c r="N85" s="718"/>
      <c r="O85" s="299">
        <v>192347</v>
      </c>
      <c r="P85" s="111">
        <v>202202.95</v>
      </c>
      <c r="Q85" s="112">
        <f t="shared" si="31"/>
        <v>9855.9500000000116</v>
      </c>
      <c r="R85" s="113">
        <f t="shared" si="32"/>
        <v>5.1240466448657956E-2</v>
      </c>
      <c r="S85" s="729"/>
      <c r="T85" s="1"/>
    </row>
    <row r="86" spans="1:20" s="2" customFormat="1" ht="46.5" customHeight="1" x14ac:dyDescent="0.2">
      <c r="A86" s="241">
        <v>2244</v>
      </c>
      <c r="B86" s="128" t="s">
        <v>147</v>
      </c>
      <c r="C86" s="299">
        <v>23553.919999999998</v>
      </c>
      <c r="D86" s="299">
        <v>23554.22</v>
      </c>
      <c r="E86" s="299">
        <v>3789.5</v>
      </c>
      <c r="F86" s="111">
        <v>4774.6499999999996</v>
      </c>
      <c r="G86" s="112">
        <f t="shared" si="27"/>
        <v>985.14999999999964</v>
      </c>
      <c r="H86" s="113">
        <f t="shared" si="28"/>
        <v>0.25996833355323912</v>
      </c>
      <c r="I86" s="718"/>
      <c r="J86" s="299">
        <v>10144.780000000001</v>
      </c>
      <c r="K86" s="111">
        <v>10172.39</v>
      </c>
      <c r="L86" s="112">
        <f t="shared" si="29"/>
        <v>27.609999999998763</v>
      </c>
      <c r="M86" s="113">
        <f t="shared" si="30"/>
        <v>2.7215967226493589E-3</v>
      </c>
      <c r="N86" s="718"/>
      <c r="O86" s="300">
        <v>23554.22</v>
      </c>
      <c r="P86" s="111">
        <v>22186.7</v>
      </c>
      <c r="Q86" s="112">
        <f t="shared" si="31"/>
        <v>-1367.5200000000004</v>
      </c>
      <c r="R86" s="113">
        <f t="shared" si="32"/>
        <v>-5.8058386140572703E-2</v>
      </c>
      <c r="S86" s="729"/>
      <c r="T86" s="1"/>
    </row>
    <row r="87" spans="1:20" s="2" customFormat="1" ht="46.5" customHeight="1" x14ac:dyDescent="0.2">
      <c r="A87" s="241">
        <v>2247</v>
      </c>
      <c r="B87" s="128" t="s">
        <v>148</v>
      </c>
      <c r="C87" s="299">
        <f>25.57+3336.58</f>
        <v>3362.15</v>
      </c>
      <c r="D87" s="299">
        <v>3361.7799999999997</v>
      </c>
      <c r="E87" s="299">
        <v>771.72</v>
      </c>
      <c r="F87" s="111">
        <v>2783.08</v>
      </c>
      <c r="G87" s="112">
        <f t="shared" si="27"/>
        <v>2011.36</v>
      </c>
      <c r="H87" s="113">
        <f t="shared" si="28"/>
        <v>2.6063339034883115</v>
      </c>
      <c r="I87" s="718"/>
      <c r="J87" s="299">
        <v>2983.29</v>
      </c>
      <c r="K87" s="111">
        <v>3225.69</v>
      </c>
      <c r="L87" s="129">
        <f t="shared" si="29"/>
        <v>242.40000000000009</v>
      </c>
      <c r="M87" s="130">
        <f t="shared" si="30"/>
        <v>8.1252576853071634E-2</v>
      </c>
      <c r="N87" s="718"/>
      <c r="O87" s="300">
        <v>3361.7799999999997</v>
      </c>
      <c r="P87" s="111">
        <f>3574.87+35.6</f>
        <v>3610.47</v>
      </c>
      <c r="Q87" s="112">
        <f t="shared" si="31"/>
        <v>248.69000000000005</v>
      </c>
      <c r="R87" s="113">
        <f t="shared" si="32"/>
        <v>7.3975691449172779E-2</v>
      </c>
      <c r="S87" s="729"/>
      <c r="T87" s="1"/>
    </row>
    <row r="88" spans="1:20" s="2" customFormat="1" ht="46.5" customHeight="1" x14ac:dyDescent="0.2">
      <c r="A88" s="241">
        <v>2249</v>
      </c>
      <c r="B88" s="128" t="s">
        <v>149</v>
      </c>
      <c r="C88" s="299">
        <v>109880.74</v>
      </c>
      <c r="D88" s="299">
        <v>229881.22</v>
      </c>
      <c r="E88" s="299">
        <v>55279.89</v>
      </c>
      <c r="F88" s="111">
        <v>42420.06</v>
      </c>
      <c r="G88" s="112">
        <f t="shared" si="27"/>
        <v>-12859.830000000002</v>
      </c>
      <c r="H88" s="113">
        <f t="shared" si="28"/>
        <v>-0.23263125161790305</v>
      </c>
      <c r="I88" s="719"/>
      <c r="J88" s="299">
        <v>122373.65</v>
      </c>
      <c r="K88" s="111">
        <v>65959.77</v>
      </c>
      <c r="L88" s="112">
        <f t="shared" si="29"/>
        <v>-56413.87999999999</v>
      </c>
      <c r="M88" s="113">
        <f t="shared" si="30"/>
        <v>-0.46099695481829622</v>
      </c>
      <c r="N88" s="719"/>
      <c r="O88" s="299">
        <v>229881.22</v>
      </c>
      <c r="P88" s="111">
        <v>136752.43</v>
      </c>
      <c r="Q88" s="112">
        <f t="shared" si="31"/>
        <v>-93128.790000000008</v>
      </c>
      <c r="R88" s="113">
        <f t="shared" si="32"/>
        <v>-0.40511699911806631</v>
      </c>
      <c r="S88" s="730"/>
      <c r="T88" s="1"/>
    </row>
    <row r="89" spans="1:20" s="242" customFormat="1" ht="46.5" customHeight="1" x14ac:dyDescent="0.2">
      <c r="A89" s="550">
        <v>2250</v>
      </c>
      <c r="B89" s="134" t="s">
        <v>150</v>
      </c>
      <c r="C89" s="301">
        <v>212408.27</v>
      </c>
      <c r="D89" s="301">
        <v>212407.96999999997</v>
      </c>
      <c r="E89" s="301">
        <v>57827.83</v>
      </c>
      <c r="F89" s="301">
        <v>59146.27</v>
      </c>
      <c r="G89" s="249">
        <f t="shared" si="27"/>
        <v>1318.4399999999951</v>
      </c>
      <c r="H89" s="250">
        <f t="shared" si="28"/>
        <v>2.279940298641666E-2</v>
      </c>
      <c r="I89" s="353"/>
      <c r="J89" s="301">
        <v>116622.28</v>
      </c>
      <c r="K89" s="301">
        <v>127233.75</v>
      </c>
      <c r="L89" s="249">
        <f t="shared" si="29"/>
        <v>10611.470000000001</v>
      </c>
      <c r="M89" s="250">
        <f t="shared" si="30"/>
        <v>9.0990074966807388E-2</v>
      </c>
      <c r="N89" s="251"/>
      <c r="O89" s="301">
        <v>212407.96999999997</v>
      </c>
      <c r="P89" s="301">
        <v>226822.99</v>
      </c>
      <c r="Q89" s="249">
        <f t="shared" si="31"/>
        <v>14415.020000000019</v>
      </c>
      <c r="R89" s="250">
        <f t="shared" si="32"/>
        <v>6.786477927358385E-2</v>
      </c>
      <c r="S89" s="251"/>
      <c r="T89" s="1"/>
    </row>
    <row r="90" spans="1:20" s="242" customFormat="1" ht="46.5" customHeight="1" x14ac:dyDescent="0.2">
      <c r="A90" s="550">
        <v>2260</v>
      </c>
      <c r="B90" s="134" t="s">
        <v>151</v>
      </c>
      <c r="C90" s="304">
        <f t="shared" ref="C90" si="35">SUM(C91:C95)</f>
        <v>71018.52</v>
      </c>
      <c r="D90" s="304">
        <v>76847.839999999997</v>
      </c>
      <c r="E90" s="304">
        <v>16031.150000000001</v>
      </c>
      <c r="F90" s="304">
        <f>SUM(F91:F95)</f>
        <v>18077.7</v>
      </c>
      <c r="G90" s="249">
        <f t="shared" si="27"/>
        <v>2046.5499999999993</v>
      </c>
      <c r="H90" s="250">
        <f t="shared" si="28"/>
        <v>0.12766083531125336</v>
      </c>
      <c r="I90" s="704"/>
      <c r="J90" s="304">
        <v>38186.400000000001</v>
      </c>
      <c r="K90" s="304">
        <f>SUM(K91:K95)</f>
        <v>37683.4</v>
      </c>
      <c r="L90" s="249">
        <f t="shared" si="29"/>
        <v>-503</v>
      </c>
      <c r="M90" s="250">
        <f t="shared" si="30"/>
        <v>-1.3172228856346762E-2</v>
      </c>
      <c r="N90" s="704"/>
      <c r="O90" s="304">
        <v>76847.839999999997</v>
      </c>
      <c r="P90" s="304">
        <f>SUM(P91:P95)</f>
        <v>73342.570000000007</v>
      </c>
      <c r="Q90" s="249">
        <f t="shared" si="31"/>
        <v>-3505.2699999999895</v>
      </c>
      <c r="R90" s="250">
        <f t="shared" si="32"/>
        <v>-4.5613123283621111E-2</v>
      </c>
      <c r="S90" s="704"/>
      <c r="T90" s="1"/>
    </row>
    <row r="91" spans="1:20" s="2" customFormat="1" ht="46.5" customHeight="1" x14ac:dyDescent="0.2">
      <c r="A91" s="241">
        <v>2261</v>
      </c>
      <c r="B91" s="37" t="s">
        <v>152</v>
      </c>
      <c r="C91" s="111"/>
      <c r="D91" s="299">
        <v>0</v>
      </c>
      <c r="E91" s="299">
        <v>0</v>
      </c>
      <c r="F91" s="111"/>
      <c r="G91" s="112">
        <f t="shared" si="27"/>
        <v>0</v>
      </c>
      <c r="H91" s="113" t="str">
        <f t="shared" si="28"/>
        <v>-</v>
      </c>
      <c r="I91" s="705"/>
      <c r="J91" s="299">
        <v>0</v>
      </c>
      <c r="K91" s="111"/>
      <c r="L91" s="112">
        <f t="shared" si="29"/>
        <v>0</v>
      </c>
      <c r="M91" s="113" t="str">
        <f t="shared" si="30"/>
        <v>-</v>
      </c>
      <c r="N91" s="705"/>
      <c r="O91" s="299">
        <v>0</v>
      </c>
      <c r="P91" s="111"/>
      <c r="Q91" s="112">
        <f t="shared" si="31"/>
        <v>0</v>
      </c>
      <c r="R91" s="113" t="str">
        <f t="shared" si="32"/>
        <v>-</v>
      </c>
      <c r="S91" s="705"/>
      <c r="T91" s="1"/>
    </row>
    <row r="92" spans="1:20" s="2" customFormat="1" ht="46.5" customHeight="1" x14ac:dyDescent="0.2">
      <c r="A92" s="241">
        <v>2262</v>
      </c>
      <c r="B92" s="37" t="s">
        <v>153</v>
      </c>
      <c r="C92" s="111"/>
      <c r="D92" s="299">
        <v>0</v>
      </c>
      <c r="E92" s="299">
        <v>0</v>
      </c>
      <c r="F92" s="111"/>
      <c r="G92" s="112">
        <f t="shared" si="27"/>
        <v>0</v>
      </c>
      <c r="H92" s="113" t="str">
        <f t="shared" si="28"/>
        <v>-</v>
      </c>
      <c r="I92" s="705"/>
      <c r="J92" s="299">
        <v>0</v>
      </c>
      <c r="K92" s="111"/>
      <c r="L92" s="112">
        <f t="shared" si="29"/>
        <v>0</v>
      </c>
      <c r="M92" s="113" t="str">
        <f t="shared" si="30"/>
        <v>-</v>
      </c>
      <c r="N92" s="705"/>
      <c r="O92" s="299">
        <v>0</v>
      </c>
      <c r="P92" s="111"/>
      <c r="Q92" s="112">
        <f t="shared" si="31"/>
        <v>0</v>
      </c>
      <c r="R92" s="113" t="str">
        <f t="shared" si="32"/>
        <v>-</v>
      </c>
      <c r="S92" s="705"/>
      <c r="T92" s="1"/>
    </row>
    <row r="93" spans="1:20" s="2" customFormat="1" ht="46.5" customHeight="1" x14ac:dyDescent="0.2">
      <c r="A93" s="241">
        <v>2263</v>
      </c>
      <c r="B93" s="37" t="s">
        <v>154</v>
      </c>
      <c r="C93" s="111"/>
      <c r="D93" s="299">
        <v>0</v>
      </c>
      <c r="E93" s="299">
        <v>0</v>
      </c>
      <c r="F93" s="111"/>
      <c r="G93" s="112">
        <f t="shared" si="27"/>
        <v>0</v>
      </c>
      <c r="H93" s="113" t="str">
        <f t="shared" si="28"/>
        <v>-</v>
      </c>
      <c r="I93" s="705"/>
      <c r="J93" s="299">
        <v>0</v>
      </c>
      <c r="K93" s="111"/>
      <c r="L93" s="112">
        <f t="shared" si="29"/>
        <v>0</v>
      </c>
      <c r="M93" s="113" t="str">
        <f t="shared" si="30"/>
        <v>-</v>
      </c>
      <c r="N93" s="705"/>
      <c r="O93" s="299">
        <v>0</v>
      </c>
      <c r="P93" s="111"/>
      <c r="Q93" s="112">
        <f t="shared" si="31"/>
        <v>0</v>
      </c>
      <c r="R93" s="113" t="str">
        <f t="shared" si="32"/>
        <v>-</v>
      </c>
      <c r="S93" s="705"/>
      <c r="T93" s="1"/>
    </row>
    <row r="94" spans="1:20" s="2" customFormat="1" ht="46.5" customHeight="1" x14ac:dyDescent="0.2">
      <c r="A94" s="241">
        <v>2264</v>
      </c>
      <c r="B94" s="37" t="s">
        <v>155</v>
      </c>
      <c r="C94" s="111">
        <v>71018.52</v>
      </c>
      <c r="D94" s="299">
        <v>76847.839999999997</v>
      </c>
      <c r="E94" s="299">
        <v>16031.150000000001</v>
      </c>
      <c r="F94" s="111">
        <v>18077.7</v>
      </c>
      <c r="G94" s="112">
        <f t="shared" si="27"/>
        <v>2046.5499999999993</v>
      </c>
      <c r="H94" s="113">
        <f t="shared" si="28"/>
        <v>0.12766083531125336</v>
      </c>
      <c r="I94" s="705"/>
      <c r="J94" s="299">
        <v>38186.400000000001</v>
      </c>
      <c r="K94" s="111">
        <v>37683.4</v>
      </c>
      <c r="L94" s="112">
        <f t="shared" si="29"/>
        <v>-503</v>
      </c>
      <c r="M94" s="113">
        <f t="shared" si="30"/>
        <v>-1.3172228856346762E-2</v>
      </c>
      <c r="N94" s="705"/>
      <c r="O94" s="299">
        <v>76847.839999999997</v>
      </c>
      <c r="P94" s="111">
        <v>73342.570000000007</v>
      </c>
      <c r="Q94" s="112">
        <f t="shared" si="31"/>
        <v>-3505.2699999999895</v>
      </c>
      <c r="R94" s="113">
        <f t="shared" si="32"/>
        <v>-4.5613123283621111E-2</v>
      </c>
      <c r="S94" s="705"/>
      <c r="T94" s="1"/>
    </row>
    <row r="95" spans="1:20" s="2" customFormat="1" ht="46.5" customHeight="1" x14ac:dyDescent="0.2">
      <c r="A95" s="241">
        <v>2269</v>
      </c>
      <c r="B95" s="37" t="s">
        <v>156</v>
      </c>
      <c r="C95" s="111"/>
      <c r="D95" s="299">
        <v>0</v>
      </c>
      <c r="E95" s="299">
        <v>0</v>
      </c>
      <c r="F95" s="111"/>
      <c r="G95" s="112">
        <f t="shared" si="27"/>
        <v>0</v>
      </c>
      <c r="H95" s="113" t="str">
        <f t="shared" si="28"/>
        <v>-</v>
      </c>
      <c r="I95" s="706"/>
      <c r="J95" s="299">
        <v>0</v>
      </c>
      <c r="K95" s="111"/>
      <c r="L95" s="112">
        <f t="shared" si="29"/>
        <v>0</v>
      </c>
      <c r="M95" s="113" t="str">
        <f t="shared" si="30"/>
        <v>-</v>
      </c>
      <c r="N95" s="706"/>
      <c r="O95" s="299">
        <v>0</v>
      </c>
      <c r="P95" s="111"/>
      <c r="Q95" s="112">
        <f t="shared" si="31"/>
        <v>0</v>
      </c>
      <c r="R95" s="113" t="str">
        <f t="shared" si="32"/>
        <v>-</v>
      </c>
      <c r="S95" s="706"/>
      <c r="T95" s="1"/>
    </row>
    <row r="96" spans="1:20" s="242" customFormat="1" ht="46.5" customHeight="1" x14ac:dyDescent="0.2">
      <c r="A96" s="550">
        <v>2270</v>
      </c>
      <c r="B96" s="134" t="s">
        <v>157</v>
      </c>
      <c r="C96" s="236">
        <f t="shared" ref="C96" si="36">SUM(C98:C101)</f>
        <v>0</v>
      </c>
      <c r="D96" s="304">
        <v>0</v>
      </c>
      <c r="E96" s="304">
        <v>0</v>
      </c>
      <c r="F96" s="236">
        <f>SUM(F97:F101)</f>
        <v>0</v>
      </c>
      <c r="G96" s="249">
        <f t="shared" si="27"/>
        <v>0</v>
      </c>
      <c r="H96" s="250" t="str">
        <f t="shared" si="28"/>
        <v>-</v>
      </c>
      <c r="I96" s="722"/>
      <c r="J96" s="304">
        <v>0</v>
      </c>
      <c r="K96" s="236">
        <f>SUM(K97:K101)</f>
        <v>0</v>
      </c>
      <c r="L96" s="249">
        <f>K96-J96</f>
        <v>0</v>
      </c>
      <c r="M96" s="250" t="str">
        <f>IFERROR(L96/ABS(J96), "-")</f>
        <v>-</v>
      </c>
      <c r="N96" s="704"/>
      <c r="O96" s="304">
        <v>0</v>
      </c>
      <c r="P96" s="236">
        <f>SUM(P97:P101)</f>
        <v>0</v>
      </c>
      <c r="Q96" s="249">
        <f t="shared" si="31"/>
        <v>0</v>
      </c>
      <c r="R96" s="250" t="str">
        <f t="shared" si="32"/>
        <v>-</v>
      </c>
      <c r="S96" s="704"/>
      <c r="T96" s="1"/>
    </row>
    <row r="97" spans="1:20" s="2" customFormat="1" ht="46.5" customHeight="1" x14ac:dyDescent="0.2">
      <c r="A97" s="241">
        <v>2272</v>
      </c>
      <c r="B97" s="128" t="s">
        <v>158</v>
      </c>
      <c r="C97" s="236"/>
      <c r="D97" s="304">
        <v>0</v>
      </c>
      <c r="E97" s="304">
        <v>0</v>
      </c>
      <c r="F97" s="236"/>
      <c r="G97" s="112">
        <f t="shared" si="27"/>
        <v>0</v>
      </c>
      <c r="H97" s="113" t="str">
        <f t="shared" si="28"/>
        <v>-</v>
      </c>
      <c r="I97" s="723"/>
      <c r="J97" s="299">
        <v>0</v>
      </c>
      <c r="K97" s="236"/>
      <c r="L97" s="112">
        <f t="shared" ref="L97" si="37">K97-J97</f>
        <v>0</v>
      </c>
      <c r="M97" s="113" t="str">
        <f t="shared" ref="M97" si="38">IFERROR(L97/ABS(J97), "-")</f>
        <v>-</v>
      </c>
      <c r="N97" s="705"/>
      <c r="O97" s="299">
        <v>0</v>
      </c>
      <c r="P97" s="236"/>
      <c r="Q97" s="112">
        <f t="shared" si="31"/>
        <v>0</v>
      </c>
      <c r="R97" s="113" t="str">
        <f t="shared" si="32"/>
        <v>-</v>
      </c>
      <c r="S97" s="705"/>
      <c r="T97" s="1"/>
    </row>
    <row r="98" spans="1:20" s="2" customFormat="1" ht="46.5" customHeight="1" x14ac:dyDescent="0.2">
      <c r="A98" s="241">
        <v>2272</v>
      </c>
      <c r="B98" s="128" t="s">
        <v>159</v>
      </c>
      <c r="C98" s="111"/>
      <c r="D98" s="299">
        <v>0</v>
      </c>
      <c r="E98" s="299">
        <v>0</v>
      </c>
      <c r="F98" s="111"/>
      <c r="G98" s="112">
        <f t="shared" si="27"/>
        <v>0</v>
      </c>
      <c r="H98" s="113" t="str">
        <f t="shared" si="28"/>
        <v>-</v>
      </c>
      <c r="I98" s="723"/>
      <c r="J98" s="299">
        <v>0</v>
      </c>
      <c r="K98" s="111"/>
      <c r="L98" s="112">
        <f t="shared" si="29"/>
        <v>0</v>
      </c>
      <c r="M98" s="113" t="str">
        <f t="shared" si="30"/>
        <v>-</v>
      </c>
      <c r="N98" s="705"/>
      <c r="O98" s="299">
        <v>0</v>
      </c>
      <c r="P98" s="111"/>
      <c r="Q98" s="112">
        <f t="shared" si="31"/>
        <v>0</v>
      </c>
      <c r="R98" s="113" t="str">
        <f t="shared" si="32"/>
        <v>-</v>
      </c>
      <c r="S98" s="705"/>
      <c r="T98" s="1"/>
    </row>
    <row r="99" spans="1:20" s="2" customFormat="1" ht="46.5" customHeight="1" x14ac:dyDescent="0.2">
      <c r="A99" s="241">
        <v>2273</v>
      </c>
      <c r="B99" s="128" t="s">
        <v>160</v>
      </c>
      <c r="C99" s="111"/>
      <c r="D99" s="299">
        <v>0</v>
      </c>
      <c r="E99" s="299">
        <v>0</v>
      </c>
      <c r="F99" s="111"/>
      <c r="G99" s="112">
        <f t="shared" si="27"/>
        <v>0</v>
      </c>
      <c r="H99" s="113" t="str">
        <f t="shared" si="28"/>
        <v>-</v>
      </c>
      <c r="I99" s="723"/>
      <c r="J99" s="299">
        <v>0</v>
      </c>
      <c r="K99" s="111"/>
      <c r="L99" s="112">
        <f t="shared" si="29"/>
        <v>0</v>
      </c>
      <c r="M99" s="113" t="str">
        <f t="shared" si="30"/>
        <v>-</v>
      </c>
      <c r="N99" s="705"/>
      <c r="O99" s="299">
        <v>0</v>
      </c>
      <c r="P99" s="111"/>
      <c r="Q99" s="112">
        <f t="shared" si="31"/>
        <v>0</v>
      </c>
      <c r="R99" s="113" t="str">
        <f t="shared" si="32"/>
        <v>-</v>
      </c>
      <c r="S99" s="705"/>
      <c r="T99" s="1"/>
    </row>
    <row r="100" spans="1:20" s="2" customFormat="1" ht="46.5" customHeight="1" x14ac:dyDescent="0.2">
      <c r="A100" s="241">
        <v>2274</v>
      </c>
      <c r="B100" s="128" t="s">
        <v>161</v>
      </c>
      <c r="C100" s="111"/>
      <c r="D100" s="299">
        <v>0</v>
      </c>
      <c r="E100" s="299">
        <v>0</v>
      </c>
      <c r="F100" s="111"/>
      <c r="G100" s="112">
        <f t="shared" si="27"/>
        <v>0</v>
      </c>
      <c r="H100" s="113" t="str">
        <f t="shared" si="28"/>
        <v>-</v>
      </c>
      <c r="I100" s="723"/>
      <c r="J100" s="299">
        <v>0</v>
      </c>
      <c r="K100" s="111"/>
      <c r="L100" s="112">
        <f t="shared" si="29"/>
        <v>0</v>
      </c>
      <c r="M100" s="113" t="str">
        <f t="shared" si="30"/>
        <v>-</v>
      </c>
      <c r="N100" s="705"/>
      <c r="O100" s="299">
        <v>0</v>
      </c>
      <c r="P100" s="111"/>
      <c r="Q100" s="112">
        <f t="shared" si="31"/>
        <v>0</v>
      </c>
      <c r="R100" s="113" t="str">
        <f t="shared" si="32"/>
        <v>-</v>
      </c>
      <c r="S100" s="705"/>
      <c r="T100" s="1"/>
    </row>
    <row r="101" spans="1:20" s="2" customFormat="1" ht="46.5" customHeight="1" x14ac:dyDescent="0.2">
      <c r="A101" s="241">
        <v>2276</v>
      </c>
      <c r="B101" s="128" t="s">
        <v>162</v>
      </c>
      <c r="C101" s="111"/>
      <c r="D101" s="299">
        <v>0</v>
      </c>
      <c r="E101" s="299">
        <v>0</v>
      </c>
      <c r="F101" s="111"/>
      <c r="G101" s="112">
        <f t="shared" si="27"/>
        <v>0</v>
      </c>
      <c r="H101" s="113" t="str">
        <f t="shared" si="28"/>
        <v>-</v>
      </c>
      <c r="I101" s="724"/>
      <c r="J101" s="299">
        <v>0</v>
      </c>
      <c r="K101" s="111"/>
      <c r="L101" s="112">
        <f t="shared" si="29"/>
        <v>0</v>
      </c>
      <c r="M101" s="113" t="str">
        <f t="shared" si="30"/>
        <v>-</v>
      </c>
      <c r="N101" s="706"/>
      <c r="O101" s="300">
        <v>0</v>
      </c>
      <c r="P101" s="111"/>
      <c r="Q101" s="112">
        <f t="shared" si="31"/>
        <v>0</v>
      </c>
      <c r="R101" s="113" t="str">
        <f t="shared" si="32"/>
        <v>-</v>
      </c>
      <c r="S101" s="706"/>
      <c r="T101" s="1"/>
    </row>
    <row r="102" spans="1:20" s="242" customFormat="1" ht="46.5" customHeight="1" x14ac:dyDescent="0.2">
      <c r="A102" s="550">
        <v>2280</v>
      </c>
      <c r="B102" s="131" t="s">
        <v>163</v>
      </c>
      <c r="C102" s="301">
        <v>1765.17</v>
      </c>
      <c r="D102" s="301">
        <v>1764.8200000000002</v>
      </c>
      <c r="E102" s="301">
        <v>679.35</v>
      </c>
      <c r="F102" s="301">
        <v>812.83</v>
      </c>
      <c r="G102" s="249">
        <f t="shared" si="27"/>
        <v>133.48000000000002</v>
      </c>
      <c r="H102" s="250">
        <f t="shared" si="28"/>
        <v>0.19648193125781999</v>
      </c>
      <c r="I102" s="442" t="s">
        <v>164</v>
      </c>
      <c r="J102" s="301">
        <v>834.46</v>
      </c>
      <c r="K102" s="301">
        <v>2224.1799999999998</v>
      </c>
      <c r="L102" s="249">
        <f t="shared" si="29"/>
        <v>1389.7199999999998</v>
      </c>
      <c r="M102" s="250">
        <f t="shared" si="30"/>
        <v>1.6654123624859187</v>
      </c>
      <c r="N102" s="441" t="s">
        <v>165</v>
      </c>
      <c r="O102" s="301">
        <v>1764.8200000000002</v>
      </c>
      <c r="P102" s="301">
        <v>4223.3599999999997</v>
      </c>
      <c r="Q102" s="249">
        <f t="shared" si="31"/>
        <v>2458.5399999999995</v>
      </c>
      <c r="R102" s="250">
        <f t="shared" si="32"/>
        <v>1.3930825806597835</v>
      </c>
      <c r="S102" s="536" t="s">
        <v>166</v>
      </c>
      <c r="T102" s="1"/>
    </row>
    <row r="103" spans="1:20" s="3" customFormat="1" ht="46.5" customHeight="1" x14ac:dyDescent="0.2">
      <c r="A103" s="549">
        <v>2300</v>
      </c>
      <c r="B103" s="145" t="s">
        <v>167</v>
      </c>
      <c r="C103" s="298">
        <f>C104+C109+C113+C114+C118+C119+C126+C127+C128</f>
        <v>6786799.959999999</v>
      </c>
      <c r="D103" s="298">
        <v>6990151.5099999988</v>
      </c>
      <c r="E103" s="298">
        <v>1878696.3399999999</v>
      </c>
      <c r="F103" s="140">
        <f>F104+F109+F113+F114+F118+F119+F126+F127+F128</f>
        <v>1894416.3699999999</v>
      </c>
      <c r="G103" s="141">
        <f t="shared" si="27"/>
        <v>15720.030000000028</v>
      </c>
      <c r="H103" s="142">
        <f t="shared" si="28"/>
        <v>8.3675204264250756E-3</v>
      </c>
      <c r="I103" s="354"/>
      <c r="J103" s="298">
        <v>3392823.6999999997</v>
      </c>
      <c r="K103" s="140">
        <f>K104+K109+K113+K114+K118+K119+K126+K127+K128</f>
        <v>3761253.69</v>
      </c>
      <c r="L103" s="141">
        <f t="shared" si="29"/>
        <v>368429.99000000022</v>
      </c>
      <c r="M103" s="142">
        <f t="shared" si="30"/>
        <v>0.10859096215344176</v>
      </c>
      <c r="N103" s="149"/>
      <c r="O103" s="298">
        <v>6990151.5099999988</v>
      </c>
      <c r="P103" s="140">
        <f>P104+P109+P113+P114+P118+P119+P126+P127+P128</f>
        <v>7692269.5300000003</v>
      </c>
      <c r="Q103" s="141">
        <f t="shared" si="31"/>
        <v>702118.02000000142</v>
      </c>
      <c r="R103" s="142">
        <f t="shared" si="32"/>
        <v>0.10044389152303246</v>
      </c>
      <c r="S103" s="149"/>
      <c r="T103" s="1"/>
    </row>
    <row r="104" spans="1:20" s="242" customFormat="1" ht="46.5" customHeight="1" x14ac:dyDescent="0.2">
      <c r="A104" s="550">
        <v>2310</v>
      </c>
      <c r="B104" s="131" t="s">
        <v>168</v>
      </c>
      <c r="C104" s="304">
        <f t="shared" ref="C104" si="39">SUM(C105:C108)</f>
        <v>104310.59</v>
      </c>
      <c r="D104" s="304">
        <v>104311.48</v>
      </c>
      <c r="E104" s="304">
        <v>15156.93</v>
      </c>
      <c r="F104" s="304">
        <f>SUM(F105:F108)</f>
        <v>18375.75</v>
      </c>
      <c r="G104" s="249">
        <f t="shared" si="27"/>
        <v>3218.8199999999997</v>
      </c>
      <c r="H104" s="250">
        <f t="shared" si="28"/>
        <v>0.21236622455866719</v>
      </c>
      <c r="I104" s="717" t="s">
        <v>169</v>
      </c>
      <c r="J104" s="304">
        <v>31922.560000000001</v>
      </c>
      <c r="K104" s="304">
        <f>SUM(K105:K108)</f>
        <v>36253.340000000004</v>
      </c>
      <c r="L104" s="249">
        <f t="shared" si="29"/>
        <v>4330.7800000000025</v>
      </c>
      <c r="M104" s="250">
        <f t="shared" si="30"/>
        <v>0.13566518474708802</v>
      </c>
      <c r="N104" s="717" t="s">
        <v>170</v>
      </c>
      <c r="O104" s="304">
        <v>104311.48</v>
      </c>
      <c r="P104" s="304">
        <f>SUM(P105:P108)</f>
        <v>71484.12</v>
      </c>
      <c r="Q104" s="249">
        <f t="shared" si="31"/>
        <v>-32827.360000000001</v>
      </c>
      <c r="R104" s="250">
        <f t="shared" si="32"/>
        <v>-0.31470515038229735</v>
      </c>
      <c r="S104" s="728" t="s">
        <v>171</v>
      </c>
      <c r="T104" s="1"/>
    </row>
    <row r="105" spans="1:20" s="2" customFormat="1" ht="46.5" customHeight="1" x14ac:dyDescent="0.2">
      <c r="A105" s="241">
        <v>2311</v>
      </c>
      <c r="B105" s="37" t="s">
        <v>172</v>
      </c>
      <c r="C105" s="299">
        <v>11323.14</v>
      </c>
      <c r="D105" s="299">
        <v>11323.48</v>
      </c>
      <c r="E105" s="299">
        <v>3058.7</v>
      </c>
      <c r="F105" s="111">
        <v>3894.39</v>
      </c>
      <c r="G105" s="112">
        <f t="shared" si="27"/>
        <v>835.69</v>
      </c>
      <c r="H105" s="113">
        <f t="shared" si="28"/>
        <v>0.27321737993265116</v>
      </c>
      <c r="I105" s="718"/>
      <c r="J105" s="299">
        <v>5696.45</v>
      </c>
      <c r="K105" s="111">
        <v>6343.05</v>
      </c>
      <c r="L105" s="112">
        <f t="shared" si="29"/>
        <v>646.60000000000036</v>
      </c>
      <c r="M105" s="113">
        <f t="shared" si="30"/>
        <v>0.11350929087414098</v>
      </c>
      <c r="N105" s="718"/>
      <c r="O105" s="299">
        <v>11323.48</v>
      </c>
      <c r="P105" s="111">
        <v>10151.52</v>
      </c>
      <c r="Q105" s="112">
        <f t="shared" si="31"/>
        <v>-1171.9599999999991</v>
      </c>
      <c r="R105" s="113">
        <f t="shared" si="32"/>
        <v>-0.10349821786235319</v>
      </c>
      <c r="S105" s="729"/>
      <c r="T105" s="1"/>
    </row>
    <row r="106" spans="1:20" s="2" customFormat="1" ht="46.5" customHeight="1" x14ac:dyDescent="0.2">
      <c r="A106" s="241">
        <v>2312</v>
      </c>
      <c r="B106" s="37" t="s">
        <v>173</v>
      </c>
      <c r="C106" s="299">
        <v>57160.98</v>
      </c>
      <c r="D106" s="299">
        <v>57161.2</v>
      </c>
      <c r="E106" s="299">
        <v>11664.44</v>
      </c>
      <c r="F106" s="111">
        <v>12976.11</v>
      </c>
      <c r="G106" s="112">
        <f t="shared" si="27"/>
        <v>1311.67</v>
      </c>
      <c r="H106" s="113">
        <f t="shared" si="28"/>
        <v>0.11245031908947194</v>
      </c>
      <c r="I106" s="718"/>
      <c r="J106" s="299">
        <v>23353.019999999997</v>
      </c>
      <c r="K106" s="111">
        <v>27049.5</v>
      </c>
      <c r="L106" s="112">
        <f t="shared" si="29"/>
        <v>3696.4800000000032</v>
      </c>
      <c r="M106" s="113">
        <f t="shared" si="30"/>
        <v>0.15828702240652404</v>
      </c>
      <c r="N106" s="718"/>
      <c r="O106" s="300">
        <v>57161.2</v>
      </c>
      <c r="P106" s="111">
        <v>55544.76</v>
      </c>
      <c r="Q106" s="112">
        <f t="shared" si="31"/>
        <v>-1616.4399999999951</v>
      </c>
      <c r="R106" s="113">
        <f t="shared" si="32"/>
        <v>-2.8278622562157463E-2</v>
      </c>
      <c r="S106" s="729"/>
      <c r="T106" s="1"/>
    </row>
    <row r="107" spans="1:20" s="3" customFormat="1" ht="46.5" customHeight="1" x14ac:dyDescent="0.2">
      <c r="A107" s="241">
        <v>2313</v>
      </c>
      <c r="B107" s="37" t="s">
        <v>174</v>
      </c>
      <c r="C107" s="299">
        <v>35826.47</v>
      </c>
      <c r="D107" s="299">
        <v>35826.800000000003</v>
      </c>
      <c r="E107" s="299">
        <v>433.79</v>
      </c>
      <c r="F107" s="111">
        <v>1505.25</v>
      </c>
      <c r="G107" s="112">
        <f t="shared" si="27"/>
        <v>1071.46</v>
      </c>
      <c r="H107" s="113">
        <f t="shared" si="28"/>
        <v>2.4699970031582104</v>
      </c>
      <c r="I107" s="718"/>
      <c r="J107" s="299">
        <v>2873.09</v>
      </c>
      <c r="K107" s="111">
        <v>2860.79</v>
      </c>
      <c r="L107" s="129">
        <f t="shared" si="29"/>
        <v>-12.300000000000182</v>
      </c>
      <c r="M107" s="130">
        <f t="shared" si="30"/>
        <v>-4.281105012373501E-3</v>
      </c>
      <c r="N107" s="718"/>
      <c r="O107" s="300">
        <v>35826.800000000003</v>
      </c>
      <c r="P107" s="111">
        <v>5787.84</v>
      </c>
      <c r="Q107" s="112">
        <f t="shared" si="31"/>
        <v>-30038.960000000003</v>
      </c>
      <c r="R107" s="113">
        <f t="shared" si="32"/>
        <v>-0.83844942891913321</v>
      </c>
      <c r="S107" s="729"/>
      <c r="T107" s="1"/>
    </row>
    <row r="108" spans="1:20" s="2" customFormat="1" ht="46.5" customHeight="1" x14ac:dyDescent="0.2">
      <c r="A108" s="241">
        <v>2314</v>
      </c>
      <c r="B108" s="128" t="s">
        <v>175</v>
      </c>
      <c r="C108" s="299"/>
      <c r="D108" s="299">
        <v>0</v>
      </c>
      <c r="E108" s="299">
        <v>0</v>
      </c>
      <c r="F108" s="111"/>
      <c r="G108" s="112">
        <f t="shared" si="27"/>
        <v>0</v>
      </c>
      <c r="H108" s="113" t="str">
        <f t="shared" si="28"/>
        <v>-</v>
      </c>
      <c r="I108" s="719"/>
      <c r="J108" s="299">
        <v>0</v>
      </c>
      <c r="K108" s="111"/>
      <c r="L108" s="112">
        <f t="shared" si="29"/>
        <v>0</v>
      </c>
      <c r="M108" s="113" t="str">
        <f t="shared" si="30"/>
        <v>-</v>
      </c>
      <c r="N108" s="719"/>
      <c r="O108" s="299">
        <v>0</v>
      </c>
      <c r="P108" s="111"/>
      <c r="Q108" s="112">
        <f t="shared" si="31"/>
        <v>0</v>
      </c>
      <c r="R108" s="113" t="str">
        <f t="shared" si="32"/>
        <v>-</v>
      </c>
      <c r="S108" s="730"/>
      <c r="T108" s="1"/>
    </row>
    <row r="109" spans="1:20" s="242" customFormat="1" ht="46.5" customHeight="1" x14ac:dyDescent="0.2">
      <c r="A109" s="550">
        <v>2320</v>
      </c>
      <c r="B109" s="131" t="s">
        <v>176</v>
      </c>
      <c r="C109" s="304">
        <f t="shared" ref="C109" si="40">SUM(C110:C112)</f>
        <v>2074.7199999999998</v>
      </c>
      <c r="D109" s="304">
        <v>2075.0500000000002</v>
      </c>
      <c r="E109" s="304">
        <v>513.93000000000006</v>
      </c>
      <c r="F109" s="245">
        <f>SUM(F110:F112)</f>
        <v>572.49</v>
      </c>
      <c r="G109" s="249">
        <f t="shared" si="27"/>
        <v>58.559999999999945</v>
      </c>
      <c r="H109" s="250">
        <f t="shared" si="28"/>
        <v>0.11394547895627798</v>
      </c>
      <c r="I109" s="704"/>
      <c r="J109" s="304">
        <v>970.45</v>
      </c>
      <c r="K109" s="245">
        <f>SUM(K110:K112)</f>
        <v>1135.1500000000001</v>
      </c>
      <c r="L109" s="249">
        <f t="shared" si="29"/>
        <v>164.70000000000005</v>
      </c>
      <c r="M109" s="250">
        <f t="shared" si="30"/>
        <v>0.16971508063269622</v>
      </c>
      <c r="N109" s="717" t="s">
        <v>177</v>
      </c>
      <c r="O109" s="304">
        <v>2075.0500000000002</v>
      </c>
      <c r="P109" s="245">
        <f>SUM(P110:P112)</f>
        <v>2258.39</v>
      </c>
      <c r="Q109" s="249">
        <f t="shared" si="31"/>
        <v>183.33999999999969</v>
      </c>
      <c r="R109" s="250">
        <f t="shared" si="32"/>
        <v>8.8354497481988231E-2</v>
      </c>
      <c r="S109" s="704"/>
      <c r="T109" s="1"/>
    </row>
    <row r="110" spans="1:20" s="2" customFormat="1" ht="46.5" customHeight="1" x14ac:dyDescent="0.2">
      <c r="A110" s="241">
        <v>2321</v>
      </c>
      <c r="B110" s="37" t="s">
        <v>178</v>
      </c>
      <c r="C110" s="299"/>
      <c r="D110" s="299">
        <v>0</v>
      </c>
      <c r="E110" s="299">
        <v>0</v>
      </c>
      <c r="F110" s="111"/>
      <c r="G110" s="112">
        <f t="shared" si="27"/>
        <v>0</v>
      </c>
      <c r="H110" s="113" t="str">
        <f t="shared" si="28"/>
        <v>-</v>
      </c>
      <c r="I110" s="705"/>
      <c r="J110" s="299">
        <v>0</v>
      </c>
      <c r="K110" s="111"/>
      <c r="L110" s="112">
        <f t="shared" si="29"/>
        <v>0</v>
      </c>
      <c r="M110" s="113" t="str">
        <f t="shared" si="30"/>
        <v>-</v>
      </c>
      <c r="N110" s="718"/>
      <c r="O110" s="299">
        <v>0</v>
      </c>
      <c r="P110" s="111"/>
      <c r="Q110" s="112">
        <f t="shared" si="31"/>
        <v>0</v>
      </c>
      <c r="R110" s="113" t="str">
        <f t="shared" si="32"/>
        <v>-</v>
      </c>
      <c r="S110" s="705"/>
      <c r="T110" s="1"/>
    </row>
    <row r="111" spans="1:20" s="3" customFormat="1" ht="46.5" customHeight="1" x14ac:dyDescent="0.2">
      <c r="A111" s="241">
        <v>2322</v>
      </c>
      <c r="B111" s="37" t="s">
        <v>179</v>
      </c>
      <c r="C111" s="299">
        <v>2074.7199999999998</v>
      </c>
      <c r="D111" s="299">
        <v>2075.0500000000002</v>
      </c>
      <c r="E111" s="299">
        <v>513.93000000000006</v>
      </c>
      <c r="F111" s="111">
        <f>553.67+18.82</f>
        <v>572.49</v>
      </c>
      <c r="G111" s="112">
        <f t="shared" si="27"/>
        <v>58.559999999999945</v>
      </c>
      <c r="H111" s="113">
        <f t="shared" si="28"/>
        <v>0.11394547895627798</v>
      </c>
      <c r="I111" s="705"/>
      <c r="J111" s="299">
        <v>970.45</v>
      </c>
      <c r="K111" s="111">
        <v>1135.1500000000001</v>
      </c>
      <c r="L111" s="112">
        <f t="shared" si="29"/>
        <v>164.70000000000005</v>
      </c>
      <c r="M111" s="113">
        <f t="shared" si="30"/>
        <v>0.16971508063269622</v>
      </c>
      <c r="N111" s="718"/>
      <c r="O111" s="299">
        <v>2075.0500000000002</v>
      </c>
      <c r="P111" s="111">
        <v>2258.39</v>
      </c>
      <c r="Q111" s="112">
        <f t="shared" si="31"/>
        <v>183.33999999999969</v>
      </c>
      <c r="R111" s="113">
        <f t="shared" si="32"/>
        <v>8.8354497481988231E-2</v>
      </c>
      <c r="S111" s="705"/>
      <c r="T111" s="1"/>
    </row>
    <row r="112" spans="1:20" s="3" customFormat="1" ht="46.5" customHeight="1" x14ac:dyDescent="0.2">
      <c r="A112" s="241">
        <v>2329</v>
      </c>
      <c r="B112" s="37" t="s">
        <v>180</v>
      </c>
      <c r="C112" s="299"/>
      <c r="D112" s="299">
        <v>0</v>
      </c>
      <c r="E112" s="299">
        <v>0</v>
      </c>
      <c r="F112" s="111"/>
      <c r="G112" s="112">
        <f t="shared" si="27"/>
        <v>0</v>
      </c>
      <c r="H112" s="113" t="str">
        <f t="shared" si="28"/>
        <v>-</v>
      </c>
      <c r="I112" s="706"/>
      <c r="J112" s="299">
        <v>0</v>
      </c>
      <c r="K112" s="111"/>
      <c r="L112" s="112">
        <f t="shared" si="29"/>
        <v>0</v>
      </c>
      <c r="M112" s="113" t="str">
        <f t="shared" si="30"/>
        <v>-</v>
      </c>
      <c r="N112" s="719"/>
      <c r="O112" s="299">
        <v>0</v>
      </c>
      <c r="P112" s="111"/>
      <c r="Q112" s="112">
        <f t="shared" si="31"/>
        <v>0</v>
      </c>
      <c r="R112" s="113" t="str">
        <f t="shared" si="32"/>
        <v>-</v>
      </c>
      <c r="S112" s="706"/>
      <c r="T112" s="1"/>
    </row>
    <row r="113" spans="1:20" s="242" customFormat="1" ht="46.5" customHeight="1" x14ac:dyDescent="0.2">
      <c r="A113" s="550">
        <v>2330</v>
      </c>
      <c r="B113" s="134" t="s">
        <v>181</v>
      </c>
      <c r="C113" s="301"/>
      <c r="D113" s="301">
        <v>0</v>
      </c>
      <c r="E113" s="301">
        <v>0</v>
      </c>
      <c r="F113" s="132"/>
      <c r="G113" s="249">
        <f t="shared" si="27"/>
        <v>0</v>
      </c>
      <c r="H113" s="250" t="str">
        <f t="shared" si="28"/>
        <v>-</v>
      </c>
      <c r="I113" s="353"/>
      <c r="J113" s="301">
        <v>0</v>
      </c>
      <c r="K113" s="132"/>
      <c r="L113" s="249">
        <f t="shared" si="29"/>
        <v>0</v>
      </c>
      <c r="M113" s="250" t="str">
        <f t="shared" si="30"/>
        <v>-</v>
      </c>
      <c r="N113" s="251"/>
      <c r="O113" s="301">
        <v>0</v>
      </c>
      <c r="P113" s="132"/>
      <c r="Q113" s="249">
        <f t="shared" si="31"/>
        <v>0</v>
      </c>
      <c r="R113" s="250" t="str">
        <f t="shared" si="32"/>
        <v>-</v>
      </c>
      <c r="S113" s="251"/>
      <c r="T113" s="1"/>
    </row>
    <row r="114" spans="1:20" s="242" customFormat="1" ht="46.5" customHeight="1" x14ac:dyDescent="0.2">
      <c r="A114" s="550">
        <v>2340</v>
      </c>
      <c r="B114" s="131" t="s">
        <v>182</v>
      </c>
      <c r="C114" s="301">
        <f>C115+C116+C117</f>
        <v>6381072.79</v>
      </c>
      <c r="D114" s="301">
        <v>6582121.7299999995</v>
      </c>
      <c r="E114" s="301">
        <v>1781889.43</v>
      </c>
      <c r="F114" s="301">
        <f>F115+F116+F117</f>
        <v>1794660.51</v>
      </c>
      <c r="G114" s="249">
        <f t="shared" si="27"/>
        <v>12771.080000000075</v>
      </c>
      <c r="H114" s="250">
        <f t="shared" si="28"/>
        <v>7.1671562696233489E-3</v>
      </c>
      <c r="I114" s="725"/>
      <c r="J114" s="301">
        <v>3211221.17</v>
      </c>
      <c r="K114" s="301">
        <f>K115+K116+K117</f>
        <v>3569453.6399999997</v>
      </c>
      <c r="L114" s="249">
        <f t="shared" si="29"/>
        <v>358232.46999999974</v>
      </c>
      <c r="M114" s="250">
        <f t="shared" si="30"/>
        <v>0.11155646124492875</v>
      </c>
      <c r="N114" s="725"/>
      <c r="O114" s="301">
        <v>6582121.7299999995</v>
      </c>
      <c r="P114" s="301">
        <f>P115+P116+P117</f>
        <v>7314603.6500000004</v>
      </c>
      <c r="Q114" s="249">
        <f t="shared" si="31"/>
        <v>732481.92000000086</v>
      </c>
      <c r="R114" s="250">
        <f t="shared" si="32"/>
        <v>0.11128355719425458</v>
      </c>
      <c r="S114" s="725"/>
      <c r="T114" s="1"/>
    </row>
    <row r="115" spans="1:20" s="2" customFormat="1" ht="46.5" customHeight="1" x14ac:dyDescent="0.2">
      <c r="A115" s="252">
        <v>2341</v>
      </c>
      <c r="B115" s="135" t="s">
        <v>183</v>
      </c>
      <c r="C115" s="305">
        <f>937452.39-C116</f>
        <v>862088.6</v>
      </c>
      <c r="D115" s="305">
        <v>935651.17</v>
      </c>
      <c r="E115" s="305">
        <v>226952.53999999998</v>
      </c>
      <c r="F115" s="305">
        <f>226186.55-F116</f>
        <v>207223.97999999998</v>
      </c>
      <c r="G115" s="124">
        <f t="shared" si="27"/>
        <v>-19728.559999999998</v>
      </c>
      <c r="H115" s="125">
        <f t="shared" si="28"/>
        <v>-8.6928130436433979E-2</v>
      </c>
      <c r="I115" s="726"/>
      <c r="J115" s="305">
        <v>451220.06999999995</v>
      </c>
      <c r="K115" s="305">
        <v>424023.3</v>
      </c>
      <c r="L115" s="124">
        <f t="shared" si="29"/>
        <v>-27196.76999999996</v>
      </c>
      <c r="M115" s="125">
        <f t="shared" si="30"/>
        <v>-6.0273848191194072E-2</v>
      </c>
      <c r="N115" s="726"/>
      <c r="O115" s="305">
        <v>935651.17</v>
      </c>
      <c r="P115" s="305">
        <f>954361.5-P116</f>
        <v>876453.12</v>
      </c>
      <c r="Q115" s="124">
        <f t="shared" si="31"/>
        <v>-59198.050000000047</v>
      </c>
      <c r="R115" s="125">
        <f t="shared" si="32"/>
        <v>-6.3269359242077411E-2</v>
      </c>
      <c r="S115" s="726"/>
      <c r="T115" s="1"/>
    </row>
    <row r="116" spans="1:20" s="3" customFormat="1" ht="46.5" customHeight="1" x14ac:dyDescent="0.2">
      <c r="A116" s="252">
        <v>2343</v>
      </c>
      <c r="B116" s="135" t="s">
        <v>184</v>
      </c>
      <c r="C116" s="305">
        <f>75363.79</f>
        <v>75363.789999999994</v>
      </c>
      <c r="D116" s="305">
        <v>75364.22</v>
      </c>
      <c r="E116" s="305">
        <v>17399.510000000002</v>
      </c>
      <c r="F116" s="305">
        <v>18962.57</v>
      </c>
      <c r="G116" s="136">
        <f t="shared" si="27"/>
        <v>1563.0599999999977</v>
      </c>
      <c r="H116" s="125">
        <f t="shared" si="28"/>
        <v>8.9833564278534131E-2</v>
      </c>
      <c r="I116" s="726"/>
      <c r="J116" s="305">
        <v>37044.119999999995</v>
      </c>
      <c r="K116" s="305">
        <v>37916.269999999997</v>
      </c>
      <c r="L116" s="136">
        <f t="shared" si="29"/>
        <v>872.15000000000146</v>
      </c>
      <c r="M116" s="125">
        <f t="shared" si="30"/>
        <v>2.3543547531970029E-2</v>
      </c>
      <c r="N116" s="726"/>
      <c r="O116" s="305">
        <v>75364.22</v>
      </c>
      <c r="P116" s="305">
        <v>77908.38</v>
      </c>
      <c r="Q116" s="569">
        <f t="shared" si="31"/>
        <v>2544.1600000000035</v>
      </c>
      <c r="R116" s="125">
        <f t="shared" si="32"/>
        <v>3.3758194538469365E-2</v>
      </c>
      <c r="S116" s="726"/>
      <c r="T116" s="1"/>
    </row>
    <row r="117" spans="1:20" s="3" customFormat="1" ht="46.5" customHeight="1" x14ac:dyDescent="0.2">
      <c r="A117" s="252">
        <v>2344</v>
      </c>
      <c r="B117" s="135" t="s">
        <v>185</v>
      </c>
      <c r="C117" s="305">
        <v>5443620.4000000004</v>
      </c>
      <c r="D117" s="305">
        <v>5571106.3399999999</v>
      </c>
      <c r="E117" s="305">
        <v>1537537.38</v>
      </c>
      <c r="F117" s="305">
        <v>1568473.96</v>
      </c>
      <c r="G117" s="124">
        <f t="shared" si="27"/>
        <v>30936.580000000075</v>
      </c>
      <c r="H117" s="125">
        <f t="shared" si="28"/>
        <v>2.0120863663165105E-2</v>
      </c>
      <c r="I117" s="727"/>
      <c r="J117" s="305">
        <v>2722956.9799999995</v>
      </c>
      <c r="K117" s="305">
        <v>3107514.07</v>
      </c>
      <c r="L117" s="124">
        <f t="shared" si="29"/>
        <v>384557.09000000032</v>
      </c>
      <c r="M117" s="125">
        <f t="shared" si="30"/>
        <v>0.14122775086957134</v>
      </c>
      <c r="N117" s="727"/>
      <c r="O117" s="305">
        <v>5571106.3399999999</v>
      </c>
      <c r="P117" s="305">
        <f>6358790.82+1451.33</f>
        <v>6360242.1500000004</v>
      </c>
      <c r="Q117" s="124">
        <f t="shared" si="31"/>
        <v>789135.81000000052</v>
      </c>
      <c r="R117" s="125">
        <f t="shared" si="32"/>
        <v>0.14164795317836287</v>
      </c>
      <c r="S117" s="727"/>
      <c r="T117" s="1"/>
    </row>
    <row r="118" spans="1:20" s="242" customFormat="1" ht="88.5" customHeight="1" x14ac:dyDescent="0.2">
      <c r="A118" s="550">
        <v>2350</v>
      </c>
      <c r="B118" s="134" t="s">
        <v>186</v>
      </c>
      <c r="C118" s="301">
        <v>11888.3</v>
      </c>
      <c r="D118" s="301">
        <v>11888.460000000003</v>
      </c>
      <c r="E118" s="301">
        <v>2920.94</v>
      </c>
      <c r="F118" s="301">
        <v>4564.38</v>
      </c>
      <c r="G118" s="249">
        <f t="shared" si="27"/>
        <v>1643.44</v>
      </c>
      <c r="H118" s="250">
        <f t="shared" si="28"/>
        <v>0.56264079371709108</v>
      </c>
      <c r="I118" s="441" t="s">
        <v>187</v>
      </c>
      <c r="J118" s="301">
        <v>5271.01</v>
      </c>
      <c r="K118" s="301">
        <f>50.57+8279.34</f>
        <v>8329.91</v>
      </c>
      <c r="L118" s="249">
        <f t="shared" si="29"/>
        <v>3058.8999999999996</v>
      </c>
      <c r="M118" s="250">
        <f t="shared" si="30"/>
        <v>0.58032521281500116</v>
      </c>
      <c r="N118" s="441" t="s">
        <v>188</v>
      </c>
      <c r="O118" s="301">
        <v>11888.460000000003</v>
      </c>
      <c r="P118" s="301">
        <f>14380.01+26.66</f>
        <v>14406.67</v>
      </c>
      <c r="Q118" s="249">
        <f t="shared" si="31"/>
        <v>2518.2099999999973</v>
      </c>
      <c r="R118" s="250">
        <f t="shared" si="32"/>
        <v>0.21181969742085996</v>
      </c>
      <c r="S118" s="536" t="s">
        <v>189</v>
      </c>
      <c r="T118" s="1"/>
    </row>
    <row r="119" spans="1:20" s="242" customFormat="1" ht="46.5" customHeight="1" x14ac:dyDescent="0.2">
      <c r="A119" s="550">
        <v>2360</v>
      </c>
      <c r="B119" s="131" t="s">
        <v>190</v>
      </c>
      <c r="C119" s="304">
        <f t="shared" ref="C119" si="41">SUM(C120:C125)</f>
        <v>287453.56</v>
      </c>
      <c r="D119" s="304">
        <v>289754.78999999998</v>
      </c>
      <c r="E119" s="304">
        <v>78215.11</v>
      </c>
      <c r="F119" s="245">
        <f>SUM(F120:F125)</f>
        <v>76235.47</v>
      </c>
      <c r="G119" s="249">
        <f t="shared" si="27"/>
        <v>-1979.6399999999994</v>
      </c>
      <c r="H119" s="250">
        <f t="shared" si="28"/>
        <v>-2.531019901397568E-2</v>
      </c>
      <c r="I119" s="717" t="s">
        <v>191</v>
      </c>
      <c r="J119" s="304">
        <v>143438.51</v>
      </c>
      <c r="K119" s="245">
        <f>SUM(K120:K125)</f>
        <v>146071.81</v>
      </c>
      <c r="L119" s="249">
        <f t="shared" si="29"/>
        <v>2633.2999999999884</v>
      </c>
      <c r="M119" s="250">
        <f t="shared" si="30"/>
        <v>1.8358389249860364E-2</v>
      </c>
      <c r="N119" s="717" t="s">
        <v>192</v>
      </c>
      <c r="O119" s="304">
        <v>289754.78999999998</v>
      </c>
      <c r="P119" s="245">
        <f>SUM(P120:P125)</f>
        <v>289516.7</v>
      </c>
      <c r="Q119" s="249">
        <f t="shared" si="31"/>
        <v>-238.0899999999674</v>
      </c>
      <c r="R119" s="250">
        <f t="shared" si="32"/>
        <v>-8.2169478544243362E-4</v>
      </c>
      <c r="S119" s="739" t="s">
        <v>193</v>
      </c>
      <c r="T119" s="1"/>
    </row>
    <row r="120" spans="1:20" s="2" customFormat="1" ht="46.5" customHeight="1" x14ac:dyDescent="0.2">
      <c r="A120" s="241">
        <v>2361</v>
      </c>
      <c r="B120" s="128" t="s">
        <v>194</v>
      </c>
      <c r="C120" s="299">
        <v>7242.08</v>
      </c>
      <c r="D120" s="299">
        <v>7311.420000000001</v>
      </c>
      <c r="E120" s="299">
        <v>2667.58</v>
      </c>
      <c r="F120" s="111">
        <v>2075.75</v>
      </c>
      <c r="G120" s="112">
        <f t="shared" si="27"/>
        <v>-591.82999999999993</v>
      </c>
      <c r="H120" s="113">
        <f>IFERROR(G120/ABS(E120), "-")</f>
        <v>-0.22186026285997043</v>
      </c>
      <c r="I120" s="718"/>
      <c r="J120" s="449">
        <v>2886.48</v>
      </c>
      <c r="K120" s="450">
        <v>7288.69</v>
      </c>
      <c r="L120" s="451">
        <f t="shared" si="29"/>
        <v>4402.2099999999991</v>
      </c>
      <c r="M120" s="452">
        <f t="shared" si="30"/>
        <v>1.5251136332141568</v>
      </c>
      <c r="N120" s="718"/>
      <c r="O120" s="300">
        <v>7311.420000000001</v>
      </c>
      <c r="P120" s="111">
        <v>10450.629999999999</v>
      </c>
      <c r="Q120" s="112">
        <f t="shared" si="31"/>
        <v>3139.2099999999982</v>
      </c>
      <c r="R120" s="113">
        <f t="shared" si="32"/>
        <v>0.42935708795281874</v>
      </c>
      <c r="S120" s="737"/>
      <c r="T120" s="1"/>
    </row>
    <row r="121" spans="1:20" s="2" customFormat="1" ht="46.5" customHeight="1" x14ac:dyDescent="0.2">
      <c r="A121" s="241">
        <v>2362</v>
      </c>
      <c r="B121" s="128" t="s">
        <v>195</v>
      </c>
      <c r="C121" s="299">
        <v>1028.93</v>
      </c>
      <c r="D121" s="299">
        <v>1028.9299999999998</v>
      </c>
      <c r="E121" s="299">
        <v>662.93</v>
      </c>
      <c r="F121" s="111">
        <v>87.32</v>
      </c>
      <c r="G121" s="112">
        <f t="shared" si="27"/>
        <v>-575.6099999999999</v>
      </c>
      <c r="H121" s="113">
        <f t="shared" si="28"/>
        <v>-0.86828171903519213</v>
      </c>
      <c r="I121" s="718"/>
      <c r="J121" s="299">
        <v>662.93</v>
      </c>
      <c r="K121" s="111">
        <v>87.32</v>
      </c>
      <c r="L121" s="112">
        <f t="shared" si="29"/>
        <v>-575.6099999999999</v>
      </c>
      <c r="M121" s="113">
        <f t="shared" si="30"/>
        <v>-0.86828171903519213</v>
      </c>
      <c r="N121" s="718"/>
      <c r="O121" s="299">
        <v>1028.9299999999998</v>
      </c>
      <c r="P121" s="111">
        <v>817.07</v>
      </c>
      <c r="Q121" s="112">
        <f t="shared" si="31"/>
        <v>-211.85999999999979</v>
      </c>
      <c r="R121" s="113">
        <f t="shared" si="32"/>
        <v>-0.20590321984974666</v>
      </c>
      <c r="S121" s="737"/>
      <c r="T121" s="1"/>
    </row>
    <row r="122" spans="1:20" s="2" customFormat="1" ht="46.5" customHeight="1" x14ac:dyDescent="0.2">
      <c r="A122" s="241">
        <v>2363</v>
      </c>
      <c r="B122" s="128" t="s">
        <v>196</v>
      </c>
      <c r="C122" s="299">
        <v>279182.55</v>
      </c>
      <c r="D122" s="299">
        <v>281414.44</v>
      </c>
      <c r="E122" s="299">
        <v>74884.599999999991</v>
      </c>
      <c r="F122" s="111">
        <v>74072.399999999994</v>
      </c>
      <c r="G122" s="112">
        <f t="shared" si="27"/>
        <v>-812.19999999999709</v>
      </c>
      <c r="H122" s="113">
        <f t="shared" si="28"/>
        <v>-1.0846021745458975E-2</v>
      </c>
      <c r="I122" s="718"/>
      <c r="J122" s="299">
        <v>139889.09999999998</v>
      </c>
      <c r="K122" s="111">
        <v>138695.79999999999</v>
      </c>
      <c r="L122" s="112">
        <f t="shared" si="29"/>
        <v>-1193.2999999999884</v>
      </c>
      <c r="M122" s="113">
        <f t="shared" si="30"/>
        <v>-8.5303286674943829E-3</v>
      </c>
      <c r="N122" s="718"/>
      <c r="O122" s="299">
        <v>281414.44</v>
      </c>
      <c r="P122" s="111">
        <v>278249</v>
      </c>
      <c r="Q122" s="112">
        <f t="shared" si="31"/>
        <v>-3165.4400000000023</v>
      </c>
      <c r="R122" s="113">
        <f t="shared" si="32"/>
        <v>-1.1248321159354873E-2</v>
      </c>
      <c r="S122" s="737"/>
      <c r="T122" s="1"/>
    </row>
    <row r="123" spans="1:20" s="2" customFormat="1" ht="46.5" customHeight="1" x14ac:dyDescent="0.2">
      <c r="A123" s="241">
        <v>2364</v>
      </c>
      <c r="B123" s="128" t="s">
        <v>197</v>
      </c>
      <c r="C123" s="299"/>
      <c r="D123" s="299">
        <v>0</v>
      </c>
      <c r="E123" s="299">
        <v>0</v>
      </c>
      <c r="F123" s="111"/>
      <c r="G123" s="112">
        <f t="shared" si="27"/>
        <v>0</v>
      </c>
      <c r="H123" s="113" t="str">
        <f t="shared" si="28"/>
        <v>-</v>
      </c>
      <c r="I123" s="718"/>
      <c r="J123" s="299">
        <v>0</v>
      </c>
      <c r="K123" s="111"/>
      <c r="L123" s="112">
        <f t="shared" si="29"/>
        <v>0</v>
      </c>
      <c r="M123" s="113" t="str">
        <f t="shared" si="30"/>
        <v>-</v>
      </c>
      <c r="N123" s="718"/>
      <c r="O123" s="299">
        <v>0</v>
      </c>
      <c r="P123" s="111"/>
      <c r="Q123" s="112">
        <f t="shared" si="31"/>
        <v>0</v>
      </c>
      <c r="R123" s="113" t="str">
        <f t="shared" si="32"/>
        <v>-</v>
      </c>
      <c r="S123" s="737"/>
      <c r="T123" s="1"/>
    </row>
    <row r="124" spans="1:20" s="3" customFormat="1" ht="46.5" customHeight="1" x14ac:dyDescent="0.2">
      <c r="A124" s="241">
        <v>2366</v>
      </c>
      <c r="B124" s="128" t="s">
        <v>198</v>
      </c>
      <c r="C124" s="299"/>
      <c r="D124" s="299">
        <v>0</v>
      </c>
      <c r="E124" s="299">
        <v>0</v>
      </c>
      <c r="F124" s="111"/>
      <c r="G124" s="112">
        <f t="shared" si="27"/>
        <v>0</v>
      </c>
      <c r="H124" s="113" t="str">
        <f t="shared" si="28"/>
        <v>-</v>
      </c>
      <c r="I124" s="718"/>
      <c r="J124" s="299">
        <v>0</v>
      </c>
      <c r="K124" s="111"/>
      <c r="L124" s="112">
        <f t="shared" si="29"/>
        <v>0</v>
      </c>
      <c r="M124" s="113" t="str">
        <f t="shared" si="30"/>
        <v>-</v>
      </c>
      <c r="N124" s="718"/>
      <c r="O124" s="299">
        <v>0</v>
      </c>
      <c r="P124" s="111"/>
      <c r="Q124" s="112">
        <f t="shared" si="31"/>
        <v>0</v>
      </c>
      <c r="R124" s="113" t="str">
        <f t="shared" si="32"/>
        <v>-</v>
      </c>
      <c r="S124" s="737"/>
      <c r="T124" s="1"/>
    </row>
    <row r="125" spans="1:20" s="3" customFormat="1" ht="46.5" customHeight="1" x14ac:dyDescent="0.2">
      <c r="A125" s="241">
        <v>2369</v>
      </c>
      <c r="B125" s="128" t="s">
        <v>199</v>
      </c>
      <c r="C125" s="111"/>
      <c r="D125" s="299">
        <v>0</v>
      </c>
      <c r="E125" s="299">
        <v>0</v>
      </c>
      <c r="F125" s="111"/>
      <c r="G125" s="112">
        <f t="shared" si="27"/>
        <v>0</v>
      </c>
      <c r="H125" s="113" t="str">
        <f t="shared" si="28"/>
        <v>-</v>
      </c>
      <c r="I125" s="719"/>
      <c r="J125" s="299">
        <v>0</v>
      </c>
      <c r="K125" s="111"/>
      <c r="L125" s="112">
        <f t="shared" si="29"/>
        <v>0</v>
      </c>
      <c r="M125" s="113" t="str">
        <f t="shared" si="30"/>
        <v>-</v>
      </c>
      <c r="N125" s="719"/>
      <c r="O125" s="299">
        <v>0</v>
      </c>
      <c r="P125" s="111"/>
      <c r="Q125" s="112">
        <f t="shared" si="31"/>
        <v>0</v>
      </c>
      <c r="R125" s="113" t="str">
        <f t="shared" si="32"/>
        <v>-</v>
      </c>
      <c r="S125" s="738"/>
      <c r="T125" s="1"/>
    </row>
    <row r="126" spans="1:20" s="242" customFormat="1" ht="46.5" customHeight="1" x14ac:dyDescent="0.2">
      <c r="A126" s="550">
        <v>2370</v>
      </c>
      <c r="B126" s="134" t="s">
        <v>200</v>
      </c>
      <c r="C126" s="117"/>
      <c r="D126" s="301">
        <v>0</v>
      </c>
      <c r="E126" s="301">
        <v>0</v>
      </c>
      <c r="F126" s="117"/>
      <c r="G126" s="249">
        <f t="shared" si="27"/>
        <v>0</v>
      </c>
      <c r="H126" s="250" t="str">
        <f t="shared" si="28"/>
        <v>-</v>
      </c>
      <c r="I126" s="251"/>
      <c r="J126" s="301">
        <v>0</v>
      </c>
      <c r="K126" s="117"/>
      <c r="L126" s="249">
        <f t="shared" si="29"/>
        <v>0</v>
      </c>
      <c r="M126" s="250" t="str">
        <f t="shared" si="30"/>
        <v>-</v>
      </c>
      <c r="N126" s="251"/>
      <c r="O126" s="301">
        <v>0</v>
      </c>
      <c r="P126" s="117"/>
      <c r="Q126" s="249">
        <f t="shared" si="31"/>
        <v>0</v>
      </c>
      <c r="R126" s="250" t="str">
        <f t="shared" si="32"/>
        <v>-</v>
      </c>
      <c r="S126" s="251"/>
      <c r="T126" s="1"/>
    </row>
    <row r="127" spans="1:20" s="242" customFormat="1" ht="46.5" customHeight="1" x14ac:dyDescent="0.2">
      <c r="A127" s="550">
        <v>2380</v>
      </c>
      <c r="B127" s="134" t="s">
        <v>201</v>
      </c>
      <c r="C127" s="132"/>
      <c r="D127" s="301">
        <v>0</v>
      </c>
      <c r="E127" s="301">
        <v>0</v>
      </c>
      <c r="F127" s="132"/>
      <c r="G127" s="249">
        <f t="shared" si="27"/>
        <v>0</v>
      </c>
      <c r="H127" s="250" t="str">
        <f t="shared" si="28"/>
        <v>-</v>
      </c>
      <c r="I127" s="251"/>
      <c r="J127" s="301">
        <v>0</v>
      </c>
      <c r="K127" s="132"/>
      <c r="L127" s="249">
        <f t="shared" si="29"/>
        <v>0</v>
      </c>
      <c r="M127" s="250" t="str">
        <f t="shared" si="30"/>
        <v>-</v>
      </c>
      <c r="N127" s="251"/>
      <c r="O127" s="301">
        <v>0</v>
      </c>
      <c r="P127" s="301"/>
      <c r="Q127" s="249">
        <f t="shared" si="31"/>
        <v>0</v>
      </c>
      <c r="R127" s="250" t="str">
        <f t="shared" si="32"/>
        <v>-</v>
      </c>
      <c r="S127" s="353"/>
      <c r="T127" s="1"/>
    </row>
    <row r="128" spans="1:20" s="244" customFormat="1" ht="46.5" customHeight="1" x14ac:dyDescent="0.2">
      <c r="A128" s="550">
        <v>2390</v>
      </c>
      <c r="B128" s="134" t="s">
        <v>202</v>
      </c>
      <c r="C128" s="117"/>
      <c r="D128" s="301">
        <v>0</v>
      </c>
      <c r="E128" s="301">
        <v>0</v>
      </c>
      <c r="F128" s="117">
        <v>7.77</v>
      </c>
      <c r="G128" s="249">
        <f t="shared" si="27"/>
        <v>7.77</v>
      </c>
      <c r="H128" s="250" t="str">
        <f t="shared" si="28"/>
        <v>-</v>
      </c>
      <c r="I128" s="251"/>
      <c r="J128" s="301">
        <v>0</v>
      </c>
      <c r="K128" s="117">
        <v>9.84</v>
      </c>
      <c r="L128" s="249">
        <f t="shared" si="29"/>
        <v>9.84</v>
      </c>
      <c r="M128" s="250" t="str">
        <f t="shared" si="30"/>
        <v>-</v>
      </c>
      <c r="N128" s="251"/>
      <c r="O128" s="301">
        <v>0</v>
      </c>
      <c r="P128" s="117">
        <v>0</v>
      </c>
      <c r="Q128" s="249">
        <f t="shared" si="31"/>
        <v>0</v>
      </c>
      <c r="R128" s="250" t="str">
        <f t="shared" si="32"/>
        <v>-</v>
      </c>
      <c r="S128" s="353"/>
      <c r="T128" s="1"/>
    </row>
    <row r="129" spans="1:20" ht="46.5" customHeight="1" x14ac:dyDescent="0.2">
      <c r="A129" s="549">
        <v>2500</v>
      </c>
      <c r="B129" s="145" t="s">
        <v>203</v>
      </c>
      <c r="C129" s="298">
        <f t="shared" ref="C129" si="42">SUM(C130+C138)</f>
        <v>1717444.31</v>
      </c>
      <c r="D129" s="298">
        <v>1768014.7</v>
      </c>
      <c r="E129" s="298">
        <v>506892.16000000003</v>
      </c>
      <c r="F129" s="144">
        <f t="shared" ref="F129" si="43">SUM(F130+F138)</f>
        <v>498816.4</v>
      </c>
      <c r="G129" s="141">
        <f t="shared" si="27"/>
        <v>-8075.7600000000093</v>
      </c>
      <c r="H129" s="142">
        <f t="shared" si="28"/>
        <v>-1.5931909461767979E-2</v>
      </c>
      <c r="I129" s="149"/>
      <c r="J129" s="298">
        <v>907070.17</v>
      </c>
      <c r="K129" s="144">
        <f t="shared" ref="K129" si="44">SUM(K130+K138)</f>
        <v>944800.99999999988</v>
      </c>
      <c r="L129" s="141">
        <f t="shared" si="29"/>
        <v>37730.829999999842</v>
      </c>
      <c r="M129" s="142">
        <f t="shared" si="30"/>
        <v>4.1596373960792736E-2</v>
      </c>
      <c r="N129" s="149"/>
      <c r="O129" s="298">
        <v>1768014.7</v>
      </c>
      <c r="P129" s="298">
        <f t="shared" ref="P129" si="45">SUM(P130+P138)</f>
        <v>1880857.02</v>
      </c>
      <c r="Q129" s="141">
        <f t="shared" si="31"/>
        <v>112842.32000000007</v>
      </c>
      <c r="R129" s="142">
        <f t="shared" si="32"/>
        <v>6.3824310963025405E-2</v>
      </c>
      <c r="S129" s="149"/>
    </row>
    <row r="130" spans="1:20" s="244" customFormat="1" ht="46.5" customHeight="1" x14ac:dyDescent="0.2">
      <c r="A130" s="550">
        <v>2510</v>
      </c>
      <c r="B130" s="134" t="s">
        <v>204</v>
      </c>
      <c r="C130" s="304">
        <f t="shared" ref="C130" si="46">SUM(C131:C137)</f>
        <v>1717444.31</v>
      </c>
      <c r="D130" s="304">
        <v>1768014.7</v>
      </c>
      <c r="E130" s="304">
        <v>506892.16000000003</v>
      </c>
      <c r="F130" s="236">
        <f>SUM(F131:F137)</f>
        <v>498816.4</v>
      </c>
      <c r="G130" s="118">
        <f t="shared" si="27"/>
        <v>-8075.7600000000093</v>
      </c>
      <c r="H130" s="119">
        <f t="shared" si="28"/>
        <v>-1.5931909461767979E-2</v>
      </c>
      <c r="I130" s="710"/>
      <c r="J130" s="304">
        <v>907070.17</v>
      </c>
      <c r="K130" s="236">
        <f>SUM(K131:K137)</f>
        <v>944800.99999999988</v>
      </c>
      <c r="L130" s="118">
        <f t="shared" si="29"/>
        <v>37730.829999999842</v>
      </c>
      <c r="M130" s="119">
        <f t="shared" si="30"/>
        <v>4.1596373960792736E-2</v>
      </c>
      <c r="N130" s="731" t="s">
        <v>205</v>
      </c>
      <c r="O130" s="304">
        <v>1768014.7</v>
      </c>
      <c r="P130" s="304">
        <f>SUM(P131:P137)</f>
        <v>1880857.02</v>
      </c>
      <c r="Q130" s="118">
        <f t="shared" si="31"/>
        <v>112842.32000000007</v>
      </c>
      <c r="R130" s="119">
        <f t="shared" si="32"/>
        <v>6.3824310963025405E-2</v>
      </c>
      <c r="S130" s="710"/>
      <c r="T130" s="1"/>
    </row>
    <row r="131" spans="1:20" ht="46.5" customHeight="1" x14ac:dyDescent="0.2">
      <c r="A131" s="241">
        <v>2512</v>
      </c>
      <c r="B131" s="128" t="s">
        <v>206</v>
      </c>
      <c r="C131" s="111">
        <v>1670974.83</v>
      </c>
      <c r="D131" s="299">
        <v>1755000.06</v>
      </c>
      <c r="E131" s="299">
        <v>503727.52</v>
      </c>
      <c r="F131" s="111">
        <f>495842.3+36.55</f>
        <v>495878.85</v>
      </c>
      <c r="G131" s="112">
        <f t="shared" si="27"/>
        <v>-7848.6700000000419</v>
      </c>
      <c r="H131" s="113">
        <f t="shared" si="28"/>
        <v>-1.5581181667422185E-2</v>
      </c>
      <c r="I131" s="710"/>
      <c r="J131" s="299">
        <v>900658.57000000007</v>
      </c>
      <c r="K131" s="111">
        <v>938893.35</v>
      </c>
      <c r="L131" s="112">
        <f t="shared" si="29"/>
        <v>38234.779999999912</v>
      </c>
      <c r="M131" s="113">
        <f t="shared" si="30"/>
        <v>4.2452024855545327E-2</v>
      </c>
      <c r="N131" s="732"/>
      <c r="O131" s="299">
        <v>1755000.06</v>
      </c>
      <c r="P131" s="111">
        <v>1869004.31</v>
      </c>
      <c r="Q131" s="112">
        <f t="shared" si="31"/>
        <v>114004.25</v>
      </c>
      <c r="R131" s="113">
        <f t="shared" si="32"/>
        <v>6.4959684388842698E-2</v>
      </c>
      <c r="S131" s="710"/>
    </row>
    <row r="132" spans="1:20" ht="46.5" customHeight="1" x14ac:dyDescent="0.2">
      <c r="A132" s="241">
        <v>2513</v>
      </c>
      <c r="B132" s="128" t="s">
        <v>207</v>
      </c>
      <c r="C132" s="111">
        <f>10326.72</f>
        <v>10326.719999999999</v>
      </c>
      <c r="D132" s="299">
        <v>10326.720000000001</v>
      </c>
      <c r="E132" s="299">
        <v>2494.6799999999998</v>
      </c>
      <c r="F132" s="111">
        <f>2240.46+6.25</f>
        <v>2246.71</v>
      </c>
      <c r="G132" s="112">
        <f t="shared" ref="G132:G173" si="47">F132-E132</f>
        <v>-247.9699999999998</v>
      </c>
      <c r="H132" s="113">
        <f t="shared" ref="H132:H173" si="48">IFERROR(G132/ABS(E132), "-")</f>
        <v>-9.9399522183205788E-2</v>
      </c>
      <c r="I132" s="710"/>
      <c r="J132" s="299">
        <v>5076.3600000000006</v>
      </c>
      <c r="K132" s="111">
        <f>4480.92+42.53</f>
        <v>4523.45</v>
      </c>
      <c r="L132" s="112">
        <f t="shared" si="29"/>
        <v>-552.91000000000076</v>
      </c>
      <c r="M132" s="113">
        <f t="shared" si="30"/>
        <v>-0.10891859521389356</v>
      </c>
      <c r="N132" s="732"/>
      <c r="O132" s="299">
        <v>10326.720000000001</v>
      </c>
      <c r="P132" s="111">
        <f>8961.89+111.62</f>
        <v>9073.51</v>
      </c>
      <c r="Q132" s="112">
        <f t="shared" si="31"/>
        <v>-1253.2100000000009</v>
      </c>
      <c r="R132" s="113">
        <f t="shared" si="32"/>
        <v>-0.12135605497195633</v>
      </c>
      <c r="S132" s="710"/>
    </row>
    <row r="133" spans="1:20" ht="46.5" customHeight="1" x14ac:dyDescent="0.2">
      <c r="A133" s="241">
        <v>2514</v>
      </c>
      <c r="B133" s="128" t="s">
        <v>208</v>
      </c>
      <c r="C133" s="111"/>
      <c r="D133" s="299">
        <v>0</v>
      </c>
      <c r="E133" s="299">
        <v>0</v>
      </c>
      <c r="F133" s="111"/>
      <c r="G133" s="112">
        <f t="shared" si="47"/>
        <v>0</v>
      </c>
      <c r="H133" s="113" t="str">
        <f t="shared" si="48"/>
        <v>-</v>
      </c>
      <c r="I133" s="710"/>
      <c r="J133" s="299">
        <v>0</v>
      </c>
      <c r="K133" s="111"/>
      <c r="L133" s="112">
        <f t="shared" si="29"/>
        <v>0</v>
      </c>
      <c r="M133" s="113" t="str">
        <f t="shared" si="30"/>
        <v>-</v>
      </c>
      <c r="N133" s="732"/>
      <c r="O133" s="299">
        <v>0</v>
      </c>
      <c r="P133" s="111"/>
      <c r="Q133" s="112">
        <f t="shared" si="31"/>
        <v>0</v>
      </c>
      <c r="R133" s="113" t="str">
        <f t="shared" si="32"/>
        <v>-</v>
      </c>
      <c r="S133" s="710"/>
    </row>
    <row r="134" spans="1:20" ht="46.5" customHeight="1" x14ac:dyDescent="0.2">
      <c r="A134" s="241">
        <v>2515</v>
      </c>
      <c r="B134" s="128" t="s">
        <v>209</v>
      </c>
      <c r="C134" s="111"/>
      <c r="D134" s="299">
        <v>0</v>
      </c>
      <c r="E134" s="299">
        <v>0</v>
      </c>
      <c r="F134" s="111"/>
      <c r="G134" s="112">
        <f t="shared" si="47"/>
        <v>0</v>
      </c>
      <c r="H134" s="113" t="str">
        <f t="shared" si="48"/>
        <v>-</v>
      </c>
      <c r="I134" s="710"/>
      <c r="J134" s="299">
        <v>0</v>
      </c>
      <c r="K134" s="111"/>
      <c r="L134" s="112">
        <f t="shared" si="29"/>
        <v>0</v>
      </c>
      <c r="M134" s="113" t="str">
        <f t="shared" si="30"/>
        <v>-</v>
      </c>
      <c r="N134" s="732"/>
      <c r="O134" s="299">
        <v>0</v>
      </c>
      <c r="P134" s="111"/>
      <c r="Q134" s="112">
        <f t="shared" si="31"/>
        <v>0</v>
      </c>
      <c r="R134" s="113" t="str">
        <f t="shared" si="32"/>
        <v>-</v>
      </c>
      <c r="S134" s="710"/>
    </row>
    <row r="135" spans="1:20" ht="46.5" customHeight="1" x14ac:dyDescent="0.2">
      <c r="A135" s="241">
        <v>2516</v>
      </c>
      <c r="B135" s="128" t="s">
        <v>210</v>
      </c>
      <c r="C135" s="111"/>
      <c r="D135" s="299">
        <v>0</v>
      </c>
      <c r="E135" s="299">
        <v>0</v>
      </c>
      <c r="F135" s="111"/>
      <c r="G135" s="112">
        <f t="shared" si="47"/>
        <v>0</v>
      </c>
      <c r="H135" s="113" t="str">
        <f t="shared" si="48"/>
        <v>-</v>
      </c>
      <c r="I135" s="710"/>
      <c r="J135" s="299">
        <v>0</v>
      </c>
      <c r="K135" s="111"/>
      <c r="L135" s="112">
        <f t="shared" ref="L135:L172" si="49">K135-J135</f>
        <v>0</v>
      </c>
      <c r="M135" s="113" t="str">
        <f t="shared" ref="M135:M173" si="50">IFERROR(L135/ABS(J135), "-")</f>
        <v>-</v>
      </c>
      <c r="N135" s="732"/>
      <c r="O135" s="299">
        <v>0</v>
      </c>
      <c r="P135" s="111"/>
      <c r="Q135" s="112">
        <f t="shared" ref="Q135:Q173" si="51">P135-O135</f>
        <v>0</v>
      </c>
      <c r="R135" s="113" t="str">
        <f t="shared" ref="R135:R173" si="52">IFERROR(Q135/ABS(O135), "-")</f>
        <v>-</v>
      </c>
      <c r="S135" s="710"/>
    </row>
    <row r="136" spans="1:20" ht="46.5" customHeight="1" x14ac:dyDescent="0.2">
      <c r="A136" s="252">
        <v>2518</v>
      </c>
      <c r="B136" s="135" t="s">
        <v>211</v>
      </c>
      <c r="C136" s="111">
        <v>2687.76</v>
      </c>
      <c r="D136" s="299">
        <v>2687.9199999999996</v>
      </c>
      <c r="E136" s="299">
        <v>669.96</v>
      </c>
      <c r="F136" s="111">
        <v>690.84</v>
      </c>
      <c r="G136" s="112">
        <f t="shared" si="47"/>
        <v>20.879999999999995</v>
      </c>
      <c r="H136" s="113">
        <f t="shared" si="48"/>
        <v>3.1166039763567965E-2</v>
      </c>
      <c r="I136" s="710"/>
      <c r="J136" s="299">
        <v>1335.24</v>
      </c>
      <c r="K136" s="111">
        <v>1384.2</v>
      </c>
      <c r="L136" s="112">
        <f t="shared" si="49"/>
        <v>48.960000000000036</v>
      </c>
      <c r="M136" s="113">
        <f t="shared" si="50"/>
        <v>3.6667565381504473E-2</v>
      </c>
      <c r="N136" s="732"/>
      <c r="O136" s="299">
        <v>2687.9199999999996</v>
      </c>
      <c r="P136" s="111">
        <v>2779.2</v>
      </c>
      <c r="Q136" s="112">
        <f t="shared" si="51"/>
        <v>91.2800000000002</v>
      </c>
      <c r="R136" s="113">
        <f t="shared" si="52"/>
        <v>3.3959344028096153E-2</v>
      </c>
      <c r="S136" s="710"/>
    </row>
    <row r="137" spans="1:20" s="2" customFormat="1" ht="46.5" customHeight="1" x14ac:dyDescent="0.2">
      <c r="A137" s="241">
        <v>2519</v>
      </c>
      <c r="B137" s="128" t="s">
        <v>212</v>
      </c>
      <c r="C137" s="111">
        <f>33455</f>
        <v>33455</v>
      </c>
      <c r="D137" s="299">
        <v>0</v>
      </c>
      <c r="E137" s="299">
        <v>0</v>
      </c>
      <c r="F137" s="111"/>
      <c r="G137" s="112">
        <f t="shared" si="47"/>
        <v>0</v>
      </c>
      <c r="H137" s="113" t="str">
        <f t="shared" si="48"/>
        <v>-</v>
      </c>
      <c r="I137" s="710"/>
      <c r="J137" s="299">
        <v>0</v>
      </c>
      <c r="K137" s="111"/>
      <c r="L137" s="112">
        <f t="shared" si="49"/>
        <v>0</v>
      </c>
      <c r="M137" s="113" t="str">
        <f t="shared" si="50"/>
        <v>-</v>
      </c>
      <c r="N137" s="732"/>
      <c r="O137" s="299">
        <v>0</v>
      </c>
      <c r="P137" s="111"/>
      <c r="Q137" s="112">
        <f t="shared" si="51"/>
        <v>0</v>
      </c>
      <c r="R137" s="113" t="str">
        <f t="shared" si="52"/>
        <v>-</v>
      </c>
      <c r="S137" s="710"/>
      <c r="T137" s="1"/>
    </row>
    <row r="138" spans="1:20" ht="46.5" customHeight="1" x14ac:dyDescent="0.2">
      <c r="A138" s="550">
        <v>2520</v>
      </c>
      <c r="B138" s="131" t="s">
        <v>213</v>
      </c>
      <c r="C138" s="117"/>
      <c r="D138" s="301">
        <v>0</v>
      </c>
      <c r="E138" s="301">
        <v>0</v>
      </c>
      <c r="F138" s="117"/>
      <c r="G138" s="118">
        <f t="shared" si="47"/>
        <v>0</v>
      </c>
      <c r="H138" s="119" t="str">
        <f t="shared" si="48"/>
        <v>-</v>
      </c>
      <c r="I138" s="137"/>
      <c r="J138" s="301">
        <v>0</v>
      </c>
      <c r="K138" s="117"/>
      <c r="L138" s="118">
        <f t="shared" si="49"/>
        <v>0</v>
      </c>
      <c r="M138" s="119" t="str">
        <f t="shared" si="50"/>
        <v>-</v>
      </c>
      <c r="N138" s="137"/>
      <c r="O138" s="301">
        <v>0</v>
      </c>
      <c r="P138" s="117"/>
      <c r="Q138" s="118">
        <f t="shared" si="51"/>
        <v>0</v>
      </c>
      <c r="R138" s="119" t="str">
        <f t="shared" si="52"/>
        <v>-</v>
      </c>
      <c r="S138" s="137"/>
    </row>
    <row r="139" spans="1:20" ht="46.5" customHeight="1" x14ac:dyDescent="0.2">
      <c r="A139" s="549">
        <v>2800</v>
      </c>
      <c r="B139" s="145" t="s">
        <v>214</v>
      </c>
      <c r="C139" s="293"/>
      <c r="D139" s="306">
        <v>0</v>
      </c>
      <c r="E139" s="306">
        <v>0</v>
      </c>
      <c r="F139" s="293"/>
      <c r="G139" s="141"/>
      <c r="H139" s="142"/>
      <c r="I139" s="294"/>
      <c r="J139" s="306">
        <v>0</v>
      </c>
      <c r="K139" s="293"/>
      <c r="L139" s="141"/>
      <c r="M139" s="142"/>
      <c r="N139" s="294"/>
      <c r="O139" s="306">
        <v>0</v>
      </c>
      <c r="P139" s="293"/>
      <c r="Q139" s="141"/>
      <c r="R139" s="142"/>
      <c r="S139" s="294"/>
    </row>
    <row r="140" spans="1:20" ht="46.5" customHeight="1" x14ac:dyDescent="0.2">
      <c r="A140" s="548">
        <v>4000</v>
      </c>
      <c r="B140" s="246" t="s">
        <v>215</v>
      </c>
      <c r="C140" s="237">
        <f>C141+C142+C143</f>
        <v>0</v>
      </c>
      <c r="D140" s="297">
        <v>0</v>
      </c>
      <c r="E140" s="297">
        <v>0</v>
      </c>
      <c r="F140" s="237">
        <f>F141+F142+F143</f>
        <v>0</v>
      </c>
      <c r="G140" s="238">
        <f t="shared" si="47"/>
        <v>0</v>
      </c>
      <c r="H140" s="239" t="str">
        <f t="shared" si="48"/>
        <v>-</v>
      </c>
      <c r="I140" s="240"/>
      <c r="J140" s="297">
        <v>0</v>
      </c>
      <c r="K140" s="237">
        <f>K141+K142+K143</f>
        <v>0</v>
      </c>
      <c r="L140" s="238">
        <f t="shared" si="49"/>
        <v>0</v>
      </c>
      <c r="M140" s="239" t="str">
        <f t="shared" si="50"/>
        <v>-</v>
      </c>
      <c r="N140" s="240"/>
      <c r="O140" s="297">
        <v>0</v>
      </c>
      <c r="P140" s="237">
        <f>P141+P142+P143</f>
        <v>0</v>
      </c>
      <c r="Q140" s="238">
        <f t="shared" si="51"/>
        <v>0</v>
      </c>
      <c r="R140" s="239" t="str">
        <f t="shared" si="52"/>
        <v>-</v>
      </c>
      <c r="S140" s="240"/>
    </row>
    <row r="141" spans="1:20" s="244" customFormat="1" ht="46.5" customHeight="1" x14ac:dyDescent="0.2">
      <c r="A141" s="236">
        <v>4100</v>
      </c>
      <c r="B141" s="131" t="s">
        <v>216</v>
      </c>
      <c r="C141" s="236"/>
      <c r="D141" s="304">
        <v>0</v>
      </c>
      <c r="E141" s="304">
        <v>0</v>
      </c>
      <c r="F141" s="236"/>
      <c r="G141" s="118">
        <f t="shared" si="47"/>
        <v>0</v>
      </c>
      <c r="H141" s="119" t="str">
        <f t="shared" si="48"/>
        <v>-</v>
      </c>
      <c r="I141" s="253"/>
      <c r="J141" s="304">
        <v>0</v>
      </c>
      <c r="K141" s="236"/>
      <c r="L141" s="118"/>
      <c r="M141" s="119" t="str">
        <f t="shared" si="50"/>
        <v>-</v>
      </c>
      <c r="N141" s="253"/>
      <c r="O141" s="304">
        <v>0</v>
      </c>
      <c r="P141" s="236"/>
      <c r="Q141" s="118">
        <f t="shared" si="51"/>
        <v>0</v>
      </c>
      <c r="R141" s="119" t="str">
        <f t="shared" si="52"/>
        <v>-</v>
      </c>
      <c r="S141" s="253"/>
      <c r="T141" s="1"/>
    </row>
    <row r="142" spans="1:20" s="244" customFormat="1" ht="46.5" customHeight="1" x14ac:dyDescent="0.2">
      <c r="A142" s="236">
        <v>4200</v>
      </c>
      <c r="B142" s="134" t="s">
        <v>217</v>
      </c>
      <c r="C142" s="245"/>
      <c r="D142" s="304">
        <v>0</v>
      </c>
      <c r="E142" s="304">
        <v>0</v>
      </c>
      <c r="F142" s="236"/>
      <c r="G142" s="118">
        <f t="shared" si="47"/>
        <v>0</v>
      </c>
      <c r="H142" s="119" t="str">
        <f t="shared" si="48"/>
        <v>-</v>
      </c>
      <c r="I142" s="253"/>
      <c r="J142" s="304">
        <v>0</v>
      </c>
      <c r="K142" s="236"/>
      <c r="L142" s="118">
        <f t="shared" si="49"/>
        <v>0</v>
      </c>
      <c r="M142" s="119" t="str">
        <f t="shared" si="50"/>
        <v>-</v>
      </c>
      <c r="N142" s="253"/>
      <c r="O142" s="304">
        <v>0</v>
      </c>
      <c r="P142" s="236"/>
      <c r="Q142" s="118">
        <f t="shared" si="51"/>
        <v>0</v>
      </c>
      <c r="R142" s="119" t="str">
        <f t="shared" si="52"/>
        <v>-</v>
      </c>
      <c r="S142" s="253"/>
      <c r="T142" s="1"/>
    </row>
    <row r="143" spans="1:20" s="244" customFormat="1" ht="46.5" customHeight="1" x14ac:dyDescent="0.2">
      <c r="A143" s="550">
        <v>4300</v>
      </c>
      <c r="B143" s="131" t="s">
        <v>218</v>
      </c>
      <c r="C143" s="236"/>
      <c r="D143" s="304">
        <v>0</v>
      </c>
      <c r="E143" s="304">
        <v>0</v>
      </c>
      <c r="F143" s="236"/>
      <c r="G143" s="118">
        <f t="shared" si="47"/>
        <v>0</v>
      </c>
      <c r="H143" s="119" t="str">
        <f t="shared" si="48"/>
        <v>-</v>
      </c>
      <c r="I143" s="253"/>
      <c r="J143" s="304">
        <v>0</v>
      </c>
      <c r="K143" s="236"/>
      <c r="L143" s="118">
        <f t="shared" si="49"/>
        <v>0</v>
      </c>
      <c r="M143" s="119" t="str">
        <f t="shared" si="50"/>
        <v>-</v>
      </c>
      <c r="N143" s="253"/>
      <c r="O143" s="304">
        <v>0</v>
      </c>
      <c r="P143" s="236"/>
      <c r="Q143" s="118">
        <f t="shared" si="51"/>
        <v>0</v>
      </c>
      <c r="R143" s="119" t="str">
        <f t="shared" si="52"/>
        <v>-</v>
      </c>
      <c r="S143" s="253"/>
      <c r="T143" s="1"/>
    </row>
    <row r="144" spans="1:20" ht="46.5" customHeight="1" x14ac:dyDescent="0.2">
      <c r="A144" s="543" t="s">
        <v>219</v>
      </c>
      <c r="B144" s="260" t="s">
        <v>220</v>
      </c>
      <c r="C144" s="261">
        <f>C32</f>
        <v>26633096.950000003</v>
      </c>
      <c r="D144" s="296">
        <v>28104961.004913203</v>
      </c>
      <c r="E144" s="296">
        <v>7199622.2100000009</v>
      </c>
      <c r="F144" s="261">
        <f>F32</f>
        <v>7165917.2000000002</v>
      </c>
      <c r="G144" s="262">
        <f t="shared" si="47"/>
        <v>-33705.010000000708</v>
      </c>
      <c r="H144" s="263">
        <f t="shared" si="48"/>
        <v>-4.6814970309394478E-3</v>
      </c>
      <c r="I144" s="264"/>
      <c r="J144" s="296">
        <v>14054780.338739201</v>
      </c>
      <c r="K144" s="261">
        <f>K32</f>
        <v>14439698.089999998</v>
      </c>
      <c r="L144" s="262">
        <f>K144-J144</f>
        <v>384917.75126079656</v>
      </c>
      <c r="M144" s="263">
        <f t="shared" si="50"/>
        <v>2.7386963153016877E-2</v>
      </c>
      <c r="N144" s="264"/>
      <c r="O144" s="296">
        <v>28104961.004913203</v>
      </c>
      <c r="P144" s="261">
        <f>P32</f>
        <v>29679348.41</v>
      </c>
      <c r="Q144" s="262">
        <f t="shared" si="51"/>
        <v>1574387.4050867967</v>
      </c>
      <c r="R144" s="263">
        <f t="shared" si="52"/>
        <v>5.6018131632047746E-2</v>
      </c>
      <c r="S144" s="264"/>
    </row>
    <row r="145" spans="1:20" ht="46.5" customHeight="1" x14ac:dyDescent="0.2">
      <c r="A145" s="543" t="s">
        <v>221</v>
      </c>
      <c r="B145" s="260" t="s">
        <v>222</v>
      </c>
      <c r="C145" s="261">
        <f>C3-C144</f>
        <v>184334.29999999702</v>
      </c>
      <c r="D145" s="296">
        <v>1047289.6050867992</v>
      </c>
      <c r="E145" s="296">
        <v>-509956.52000000048</v>
      </c>
      <c r="F145" s="261">
        <f>F3-F144</f>
        <v>-264102.6400000006</v>
      </c>
      <c r="G145" s="262">
        <f t="shared" si="47"/>
        <v>245853.87999999989</v>
      </c>
      <c r="H145" s="263">
        <f t="shared" si="48"/>
        <v>0.48210753340304319</v>
      </c>
      <c r="I145" s="264"/>
      <c r="J145" s="296">
        <v>-590601.29873920092</v>
      </c>
      <c r="K145" s="261">
        <f>K3-K144</f>
        <v>-75848.060000000522</v>
      </c>
      <c r="L145" s="262">
        <f t="shared" si="49"/>
        <v>514753.2387392004</v>
      </c>
      <c r="M145" s="263">
        <f t="shared" si="50"/>
        <v>0.87157485064472628</v>
      </c>
      <c r="N145" s="264"/>
      <c r="O145" s="296">
        <v>1047289.6050867992</v>
      </c>
      <c r="P145" s="261">
        <f>P3-P144</f>
        <v>443498.31000000238</v>
      </c>
      <c r="Q145" s="262">
        <f t="shared" si="51"/>
        <v>-603791.29508679686</v>
      </c>
      <c r="R145" s="263">
        <f t="shared" si="52"/>
        <v>-0.57652753560630887</v>
      </c>
      <c r="S145" s="264"/>
    </row>
    <row r="146" spans="1:20" s="2" customFormat="1" ht="46.5" customHeight="1" x14ac:dyDescent="0.2">
      <c r="A146" s="552">
        <v>5000</v>
      </c>
      <c r="B146" s="143" t="s">
        <v>223</v>
      </c>
      <c r="C146" s="148">
        <f t="shared" ref="C146" si="53">C147+C148</f>
        <v>941786.71000000008</v>
      </c>
      <c r="D146" s="307">
        <v>949844.2</v>
      </c>
      <c r="E146" s="307">
        <v>239111.35000000003</v>
      </c>
      <c r="F146" s="148">
        <f>F147+F148</f>
        <v>240749.2</v>
      </c>
      <c r="G146" s="141">
        <f t="shared" si="47"/>
        <v>1637.8499999999767</v>
      </c>
      <c r="H146" s="142">
        <f t="shared" si="48"/>
        <v>6.8497375804200695E-3</v>
      </c>
      <c r="I146" s="149"/>
      <c r="J146" s="307">
        <v>474951.87000000005</v>
      </c>
      <c r="K146" s="148">
        <f>K147+K148</f>
        <v>485232.28</v>
      </c>
      <c r="L146" s="141">
        <f t="shared" si="49"/>
        <v>10280.409999999974</v>
      </c>
      <c r="M146" s="142">
        <f t="shared" si="50"/>
        <v>2.1645161645536787E-2</v>
      </c>
      <c r="N146" s="149"/>
      <c r="O146" s="307">
        <v>949844.2</v>
      </c>
      <c r="P146" s="148">
        <f>P147+P148</f>
        <v>976080.64</v>
      </c>
      <c r="Q146" s="141">
        <f t="shared" si="51"/>
        <v>26236.440000000061</v>
      </c>
      <c r="R146" s="142">
        <f t="shared" si="52"/>
        <v>2.7621835244137999E-2</v>
      </c>
      <c r="S146" s="149"/>
      <c r="T146" s="1"/>
    </row>
    <row r="147" spans="1:20" ht="46.5" customHeight="1" x14ac:dyDescent="0.2">
      <c r="A147" s="553">
        <v>5100</v>
      </c>
      <c r="B147" s="116" t="s">
        <v>224</v>
      </c>
      <c r="C147" s="111">
        <v>23177.06</v>
      </c>
      <c r="D147" s="299">
        <v>31234.92</v>
      </c>
      <c r="E147" s="299">
        <v>7808.73</v>
      </c>
      <c r="F147" s="111">
        <v>7808.73</v>
      </c>
      <c r="G147" s="112">
        <f t="shared" si="47"/>
        <v>0</v>
      </c>
      <c r="H147" s="113">
        <f t="shared" si="48"/>
        <v>0</v>
      </c>
      <c r="I147" s="133"/>
      <c r="J147" s="299">
        <v>15617.46</v>
      </c>
      <c r="K147" s="111">
        <v>15617.46</v>
      </c>
      <c r="L147" s="112">
        <f t="shared" si="49"/>
        <v>0</v>
      </c>
      <c r="M147" s="113">
        <f t="shared" si="50"/>
        <v>0</v>
      </c>
      <c r="N147" s="133"/>
      <c r="O147" s="299">
        <v>31234.92</v>
      </c>
      <c r="P147" s="111">
        <v>31160.01</v>
      </c>
      <c r="Q147" s="112">
        <f t="shared" si="51"/>
        <v>-74.909999999999854</v>
      </c>
      <c r="R147" s="113">
        <f t="shared" si="52"/>
        <v>-2.398277312700012E-3</v>
      </c>
      <c r="S147" s="133"/>
    </row>
    <row r="148" spans="1:20" s="244" customFormat="1" ht="46.5" customHeight="1" x14ac:dyDescent="0.2">
      <c r="A148" s="554">
        <v>5200</v>
      </c>
      <c r="B148" s="116" t="s">
        <v>225</v>
      </c>
      <c r="C148" s="245">
        <v>918609.65</v>
      </c>
      <c r="D148" s="304">
        <v>918609.28</v>
      </c>
      <c r="E148" s="304">
        <v>231302.62</v>
      </c>
      <c r="F148" s="245">
        <v>232940.47</v>
      </c>
      <c r="G148" s="118">
        <f t="shared" si="47"/>
        <v>1637.8500000000058</v>
      </c>
      <c r="H148" s="119">
        <f t="shared" si="48"/>
        <v>7.0809833455410314E-3</v>
      </c>
      <c r="I148" s="704"/>
      <c r="J148" s="304">
        <v>459334.41</v>
      </c>
      <c r="K148" s="245">
        <v>469614.82</v>
      </c>
      <c r="L148" s="118">
        <f t="shared" si="49"/>
        <v>10280.410000000033</v>
      </c>
      <c r="M148" s="119">
        <f t="shared" si="50"/>
        <v>2.2381101385372006E-2</v>
      </c>
      <c r="N148" s="704"/>
      <c r="O148" s="304">
        <v>918609.28</v>
      </c>
      <c r="P148" s="245">
        <v>944920.63</v>
      </c>
      <c r="Q148" s="118">
        <f t="shared" si="51"/>
        <v>26311.349999999977</v>
      </c>
      <c r="R148" s="119">
        <f t="shared" si="52"/>
        <v>2.8642591113383891E-2</v>
      </c>
      <c r="S148" s="704"/>
      <c r="T148" s="1"/>
    </row>
    <row r="149" spans="1:20" ht="46.5" customHeight="1" x14ac:dyDescent="0.2">
      <c r="A149" s="254">
        <v>5210</v>
      </c>
      <c r="B149" s="52" t="s">
        <v>226</v>
      </c>
      <c r="C149" s="111"/>
      <c r="D149" s="299">
        <v>0</v>
      </c>
      <c r="E149" s="299">
        <v>0</v>
      </c>
      <c r="F149" s="111"/>
      <c r="G149" s="112">
        <f t="shared" si="47"/>
        <v>0</v>
      </c>
      <c r="H149" s="113" t="str">
        <f t="shared" si="48"/>
        <v>-</v>
      </c>
      <c r="I149" s="705"/>
      <c r="J149" s="299">
        <v>0</v>
      </c>
      <c r="K149" s="111"/>
      <c r="L149" s="112">
        <f t="shared" si="49"/>
        <v>0</v>
      </c>
      <c r="M149" s="113" t="str">
        <f t="shared" si="50"/>
        <v>-</v>
      </c>
      <c r="N149" s="705"/>
      <c r="O149" s="299">
        <v>0</v>
      </c>
      <c r="P149" s="111"/>
      <c r="Q149" s="112">
        <f t="shared" si="51"/>
        <v>0</v>
      </c>
      <c r="R149" s="113" t="str">
        <f t="shared" si="52"/>
        <v>-</v>
      </c>
      <c r="S149" s="705"/>
    </row>
    <row r="150" spans="1:20" ht="46.5" customHeight="1" x14ac:dyDescent="0.2">
      <c r="A150" s="254">
        <v>5220</v>
      </c>
      <c r="B150" s="52" t="s">
        <v>227</v>
      </c>
      <c r="C150" s="111"/>
      <c r="D150" s="299">
        <v>0</v>
      </c>
      <c r="E150" s="299">
        <v>0</v>
      </c>
      <c r="F150" s="111"/>
      <c r="G150" s="112">
        <f t="shared" si="47"/>
        <v>0</v>
      </c>
      <c r="H150" s="113" t="str">
        <f t="shared" si="48"/>
        <v>-</v>
      </c>
      <c r="I150" s="705"/>
      <c r="J150" s="299">
        <v>0</v>
      </c>
      <c r="K150" s="111"/>
      <c r="L150" s="112">
        <f t="shared" si="49"/>
        <v>0</v>
      </c>
      <c r="M150" s="113" t="str">
        <f t="shared" si="50"/>
        <v>-</v>
      </c>
      <c r="N150" s="705"/>
      <c r="O150" s="299">
        <v>0</v>
      </c>
      <c r="P150" s="111"/>
      <c r="Q150" s="112">
        <f t="shared" si="51"/>
        <v>0</v>
      </c>
      <c r="R150" s="113" t="str">
        <f t="shared" si="52"/>
        <v>-</v>
      </c>
      <c r="S150" s="705"/>
    </row>
    <row r="151" spans="1:20" ht="46.5" customHeight="1" x14ac:dyDescent="0.2">
      <c r="A151" s="254">
        <v>5230</v>
      </c>
      <c r="B151" s="52" t="s">
        <v>228</v>
      </c>
      <c r="C151" s="111"/>
      <c r="D151" s="299">
        <v>0</v>
      </c>
      <c r="E151" s="299">
        <v>0</v>
      </c>
      <c r="F151" s="111"/>
      <c r="G151" s="112">
        <f t="shared" si="47"/>
        <v>0</v>
      </c>
      <c r="H151" s="113" t="str">
        <f t="shared" si="48"/>
        <v>-</v>
      </c>
      <c r="I151" s="705"/>
      <c r="J151" s="299">
        <v>0</v>
      </c>
      <c r="K151" s="111"/>
      <c r="L151" s="112">
        <f t="shared" si="49"/>
        <v>0</v>
      </c>
      <c r="M151" s="113" t="str">
        <f t="shared" si="50"/>
        <v>-</v>
      </c>
      <c r="N151" s="705"/>
      <c r="O151" s="299">
        <v>0</v>
      </c>
      <c r="P151" s="111"/>
      <c r="Q151" s="112">
        <f t="shared" si="51"/>
        <v>0</v>
      </c>
      <c r="R151" s="113" t="str">
        <f t="shared" si="52"/>
        <v>-</v>
      </c>
      <c r="S151" s="705"/>
    </row>
    <row r="152" spans="1:20" ht="46.5" customHeight="1" x14ac:dyDescent="0.2">
      <c r="A152" s="254">
        <v>5240</v>
      </c>
      <c r="B152" s="52" t="s">
        <v>229</v>
      </c>
      <c r="C152" s="111"/>
      <c r="D152" s="299">
        <v>0</v>
      </c>
      <c r="E152" s="299">
        <v>0</v>
      </c>
      <c r="F152" s="111"/>
      <c r="G152" s="112">
        <f t="shared" si="47"/>
        <v>0</v>
      </c>
      <c r="H152" s="113" t="str">
        <f t="shared" si="48"/>
        <v>-</v>
      </c>
      <c r="I152" s="706"/>
      <c r="J152" s="299">
        <v>0</v>
      </c>
      <c r="K152" s="111"/>
      <c r="L152" s="112">
        <f t="shared" si="49"/>
        <v>0</v>
      </c>
      <c r="M152" s="113" t="str">
        <f t="shared" si="50"/>
        <v>-</v>
      </c>
      <c r="N152" s="706"/>
      <c r="O152" s="299">
        <v>0</v>
      </c>
      <c r="P152" s="111"/>
      <c r="Q152" s="112">
        <f t="shared" si="51"/>
        <v>0</v>
      </c>
      <c r="R152" s="113" t="str">
        <f t="shared" si="52"/>
        <v>-</v>
      </c>
      <c r="S152" s="706"/>
    </row>
    <row r="153" spans="1:20" ht="46.5" customHeight="1" x14ac:dyDescent="0.2">
      <c r="A153" s="543" t="s">
        <v>230</v>
      </c>
      <c r="B153" s="260" t="s">
        <v>231</v>
      </c>
      <c r="C153" s="261">
        <f t="shared" ref="C153" si="54">C145-C146</f>
        <v>-757452.41000000306</v>
      </c>
      <c r="D153" s="296">
        <v>97445.405086799234</v>
      </c>
      <c r="E153" s="296">
        <v>-749067.87000000058</v>
      </c>
      <c r="F153" s="261">
        <f>F145-F146</f>
        <v>-504851.84000000061</v>
      </c>
      <c r="G153" s="262">
        <f t="shared" si="47"/>
        <v>244216.02999999997</v>
      </c>
      <c r="H153" s="340">
        <f t="shared" si="48"/>
        <v>0.32602657219832398</v>
      </c>
      <c r="I153" s="264"/>
      <c r="J153" s="296">
        <v>-1065553.168739201</v>
      </c>
      <c r="K153" s="261">
        <f>K145-K146</f>
        <v>-561080.34000000055</v>
      </c>
      <c r="L153" s="262">
        <f t="shared" si="49"/>
        <v>504472.82873920049</v>
      </c>
      <c r="M153" s="263">
        <f t="shared" si="50"/>
        <v>0.47343750038875115</v>
      </c>
      <c r="N153" s="264"/>
      <c r="O153" s="296">
        <v>97445.405086799234</v>
      </c>
      <c r="P153" s="261">
        <f>P145-P146</f>
        <v>-532582.32999999763</v>
      </c>
      <c r="Q153" s="262">
        <f t="shared" si="51"/>
        <v>-630027.73508679681</v>
      </c>
      <c r="R153" s="263">
        <f t="shared" si="52"/>
        <v>-6.4654432348616266</v>
      </c>
      <c r="S153" s="264"/>
    </row>
    <row r="154" spans="1:20" ht="46.5" customHeight="1" x14ac:dyDescent="0.2">
      <c r="A154" s="555" t="s">
        <v>232</v>
      </c>
      <c r="B154" s="143" t="s">
        <v>233</v>
      </c>
      <c r="C154" s="140">
        <f t="shared" ref="C154" si="55">SUM(C155:C162)</f>
        <v>159099.59</v>
      </c>
      <c r="D154" s="298">
        <v>105337.41</v>
      </c>
      <c r="E154" s="298">
        <v>801.2700000000001</v>
      </c>
      <c r="F154" s="140">
        <f t="shared" ref="F154" si="56">SUM(F155:F162)</f>
        <v>790.22</v>
      </c>
      <c r="G154" s="141">
        <f t="shared" si="47"/>
        <v>-11.050000000000068</v>
      </c>
      <c r="H154" s="341">
        <f t="shared" si="48"/>
        <v>-1.3790607410735541E-2</v>
      </c>
      <c r="I154" s="707" t="s">
        <v>234</v>
      </c>
      <c r="J154" s="298">
        <v>1473.11</v>
      </c>
      <c r="K154" s="140">
        <f t="shared" ref="K154" si="57">SUM(K155:K162)</f>
        <v>901.41</v>
      </c>
      <c r="L154" s="141">
        <f t="shared" si="49"/>
        <v>-571.69999999999993</v>
      </c>
      <c r="M154" s="142">
        <f t="shared" si="50"/>
        <v>-0.38809050240647336</v>
      </c>
      <c r="N154" s="717" t="s">
        <v>235</v>
      </c>
      <c r="O154" s="298">
        <v>105337.41</v>
      </c>
      <c r="P154" s="140">
        <f t="shared" ref="P154" si="58">SUM(P155:P162)</f>
        <v>128560.91999999998</v>
      </c>
      <c r="Q154" s="141">
        <f t="shared" si="51"/>
        <v>23223.50999999998</v>
      </c>
      <c r="R154" s="142">
        <f t="shared" si="52"/>
        <v>0.22046782809639975</v>
      </c>
      <c r="S154" s="728" t="s">
        <v>236</v>
      </c>
    </row>
    <row r="155" spans="1:20" ht="46.5" customHeight="1" x14ac:dyDescent="0.2">
      <c r="A155" s="556" t="s">
        <v>237</v>
      </c>
      <c r="B155" s="52" t="s">
        <v>238</v>
      </c>
      <c r="C155" s="111">
        <v>12.45</v>
      </c>
      <c r="D155" s="299">
        <v>12.48</v>
      </c>
      <c r="E155" s="299">
        <v>2.0499999999999998</v>
      </c>
      <c r="F155" s="111">
        <v>4.4400000000000004</v>
      </c>
      <c r="G155" s="112">
        <f t="shared" si="47"/>
        <v>2.3900000000000006</v>
      </c>
      <c r="H155" s="113">
        <f t="shared" si="48"/>
        <v>1.1658536585365857</v>
      </c>
      <c r="I155" s="708"/>
      <c r="J155" s="300">
        <v>4.6099999999999994</v>
      </c>
      <c r="K155" s="111">
        <v>135</v>
      </c>
      <c r="L155" s="129">
        <f t="shared" si="49"/>
        <v>130.38999999999999</v>
      </c>
      <c r="M155" s="130">
        <f t="shared" si="50"/>
        <v>28.284164859002171</v>
      </c>
      <c r="N155" s="718"/>
      <c r="O155" s="299">
        <v>12.48</v>
      </c>
      <c r="P155" s="111">
        <v>1551.41</v>
      </c>
      <c r="Q155" s="112">
        <f t="shared" si="51"/>
        <v>1538.93</v>
      </c>
      <c r="R155" s="113">
        <f t="shared" si="52"/>
        <v>123.31169871794872</v>
      </c>
      <c r="S155" s="729"/>
    </row>
    <row r="156" spans="1:20" ht="46.5" customHeight="1" x14ac:dyDescent="0.2">
      <c r="A156" s="556" t="s">
        <v>239</v>
      </c>
      <c r="B156" s="52" t="s">
        <v>240</v>
      </c>
      <c r="C156" s="111">
        <v>67.06</v>
      </c>
      <c r="D156" s="299">
        <v>81.87</v>
      </c>
      <c r="E156" s="299">
        <v>10.790000000000001</v>
      </c>
      <c r="F156" s="111">
        <v>21.65</v>
      </c>
      <c r="G156" s="112">
        <f t="shared" si="47"/>
        <v>10.859999999999998</v>
      </c>
      <c r="H156" s="113">
        <f t="shared" si="48"/>
        <v>1.0064874884151989</v>
      </c>
      <c r="I156" s="708"/>
      <c r="J156" s="299">
        <v>25.82</v>
      </c>
      <c r="K156" s="111">
        <v>53.28</v>
      </c>
      <c r="L156" s="112">
        <f t="shared" si="49"/>
        <v>27.46</v>
      </c>
      <c r="M156" s="113">
        <f t="shared" si="50"/>
        <v>1.0635166537567777</v>
      </c>
      <c r="N156" s="718"/>
      <c r="O156" s="299">
        <v>81.87</v>
      </c>
      <c r="P156" s="111">
        <v>76.8</v>
      </c>
      <c r="Q156" s="112">
        <f t="shared" si="51"/>
        <v>-5.0700000000000074</v>
      </c>
      <c r="R156" s="113">
        <f t="shared" si="52"/>
        <v>-6.1927445950897851E-2</v>
      </c>
      <c r="S156" s="729"/>
    </row>
    <row r="157" spans="1:20" ht="46.5" customHeight="1" x14ac:dyDescent="0.2">
      <c r="A157" s="556" t="s">
        <v>241</v>
      </c>
      <c r="B157" s="52" t="s">
        <v>242</v>
      </c>
      <c r="C157" s="111"/>
      <c r="D157" s="299">
        <v>0</v>
      </c>
      <c r="E157" s="299">
        <v>0</v>
      </c>
      <c r="F157" s="111"/>
      <c r="G157" s="112">
        <f t="shared" si="47"/>
        <v>0</v>
      </c>
      <c r="H157" s="113" t="str">
        <f t="shared" si="48"/>
        <v>-</v>
      </c>
      <c r="I157" s="708"/>
      <c r="J157" s="299">
        <v>0</v>
      </c>
      <c r="K157" s="111"/>
      <c r="L157" s="112">
        <f t="shared" si="49"/>
        <v>0</v>
      </c>
      <c r="M157" s="113" t="str">
        <f t="shared" si="50"/>
        <v>-</v>
      </c>
      <c r="N157" s="718"/>
      <c r="O157" s="299">
        <v>0</v>
      </c>
      <c r="P157" s="111"/>
      <c r="Q157" s="112">
        <f t="shared" si="51"/>
        <v>0</v>
      </c>
      <c r="R157" s="113" t="str">
        <f t="shared" si="52"/>
        <v>-</v>
      </c>
      <c r="S157" s="729"/>
    </row>
    <row r="158" spans="1:20" ht="46.5" customHeight="1" x14ac:dyDescent="0.2">
      <c r="A158" s="556" t="s">
        <v>243</v>
      </c>
      <c r="B158" s="52" t="s">
        <v>244</v>
      </c>
      <c r="C158" s="111"/>
      <c r="D158" s="299">
        <v>0</v>
      </c>
      <c r="E158" s="299">
        <v>0</v>
      </c>
      <c r="F158" s="111"/>
      <c r="G158" s="112">
        <f t="shared" si="47"/>
        <v>0</v>
      </c>
      <c r="H158" s="113" t="str">
        <f t="shared" si="48"/>
        <v>-</v>
      </c>
      <c r="I158" s="708"/>
      <c r="J158" s="299">
        <v>0</v>
      </c>
      <c r="K158" s="111"/>
      <c r="L158" s="112">
        <f t="shared" si="49"/>
        <v>0</v>
      </c>
      <c r="M158" s="113" t="str">
        <f t="shared" si="50"/>
        <v>-</v>
      </c>
      <c r="N158" s="718"/>
      <c r="O158" s="299">
        <v>0</v>
      </c>
      <c r="P158" s="111"/>
      <c r="Q158" s="112">
        <f t="shared" si="51"/>
        <v>0</v>
      </c>
      <c r="R158" s="113" t="str">
        <f t="shared" si="52"/>
        <v>-</v>
      </c>
      <c r="S158" s="729"/>
    </row>
    <row r="159" spans="1:20" ht="46.5" customHeight="1" x14ac:dyDescent="0.2">
      <c r="A159" s="556" t="s">
        <v>245</v>
      </c>
      <c r="B159" s="52" t="s">
        <v>246</v>
      </c>
      <c r="C159" s="111"/>
      <c r="D159" s="299">
        <v>0</v>
      </c>
      <c r="E159" s="299">
        <v>0</v>
      </c>
      <c r="F159" s="111"/>
      <c r="G159" s="112">
        <f t="shared" si="47"/>
        <v>0</v>
      </c>
      <c r="H159" s="113" t="str">
        <f t="shared" si="48"/>
        <v>-</v>
      </c>
      <c r="I159" s="708"/>
      <c r="J159" s="299">
        <v>0</v>
      </c>
      <c r="K159" s="111"/>
      <c r="L159" s="112">
        <f t="shared" si="49"/>
        <v>0</v>
      </c>
      <c r="M159" s="113" t="str">
        <f t="shared" si="50"/>
        <v>-</v>
      </c>
      <c r="N159" s="718"/>
      <c r="O159" s="299">
        <v>0</v>
      </c>
      <c r="P159" s="111"/>
      <c r="Q159" s="112">
        <f t="shared" si="51"/>
        <v>0</v>
      </c>
      <c r="R159" s="113" t="str">
        <f t="shared" si="52"/>
        <v>-</v>
      </c>
      <c r="S159" s="729"/>
    </row>
    <row r="160" spans="1:20" ht="46.5" customHeight="1" x14ac:dyDescent="0.2">
      <c r="A160" s="556" t="s">
        <v>247</v>
      </c>
      <c r="B160" s="52" t="s">
        <v>248</v>
      </c>
      <c r="C160" s="111">
        <v>58839.95</v>
      </c>
      <c r="D160" s="299">
        <v>58839.95</v>
      </c>
      <c r="E160" s="299">
        <v>0</v>
      </c>
      <c r="F160" s="111"/>
      <c r="G160" s="112">
        <f t="shared" si="47"/>
        <v>0</v>
      </c>
      <c r="H160" s="113" t="str">
        <f t="shared" si="48"/>
        <v>-</v>
      </c>
      <c r="I160" s="708"/>
      <c r="J160" s="299">
        <v>0</v>
      </c>
      <c r="K160" s="111"/>
      <c r="L160" s="112">
        <f t="shared" si="49"/>
        <v>0</v>
      </c>
      <c r="M160" s="113" t="str">
        <f t="shared" si="50"/>
        <v>-</v>
      </c>
      <c r="N160" s="718"/>
      <c r="O160" s="299">
        <v>58839.95</v>
      </c>
      <c r="P160" s="111">
        <v>58839.95</v>
      </c>
      <c r="Q160" s="112">
        <f t="shared" si="51"/>
        <v>0</v>
      </c>
      <c r="R160" s="113">
        <f t="shared" si="52"/>
        <v>0</v>
      </c>
      <c r="S160" s="729"/>
    </row>
    <row r="161" spans="1:19" ht="46.5" customHeight="1" x14ac:dyDescent="0.2">
      <c r="A161" s="556" t="s">
        <v>249</v>
      </c>
      <c r="B161" s="52" t="s">
        <v>250</v>
      </c>
      <c r="C161" s="111"/>
      <c r="D161" s="299">
        <v>0</v>
      </c>
      <c r="E161" s="299">
        <v>0</v>
      </c>
      <c r="F161" s="111"/>
      <c r="G161" s="112">
        <f t="shared" si="47"/>
        <v>0</v>
      </c>
      <c r="H161" s="113" t="str">
        <f t="shared" si="48"/>
        <v>-</v>
      </c>
      <c r="I161" s="709"/>
      <c r="J161" s="299">
        <v>0</v>
      </c>
      <c r="K161" s="111"/>
      <c r="L161" s="112">
        <f t="shared" si="49"/>
        <v>0</v>
      </c>
      <c r="M161" s="113" t="str">
        <f t="shared" si="50"/>
        <v>-</v>
      </c>
      <c r="N161" s="719"/>
      <c r="O161" s="299">
        <v>0</v>
      </c>
      <c r="P161" s="111"/>
      <c r="Q161" s="112">
        <f t="shared" si="51"/>
        <v>0</v>
      </c>
      <c r="R161" s="113" t="str">
        <f t="shared" si="52"/>
        <v>-</v>
      </c>
      <c r="S161" s="730"/>
    </row>
    <row r="162" spans="1:19" ht="46.5" customHeight="1" x14ac:dyDescent="0.2">
      <c r="A162" s="556" t="s">
        <v>251</v>
      </c>
      <c r="B162" s="52" t="s">
        <v>41</v>
      </c>
      <c r="C162" s="111">
        <f>651.25+53266.6+43400.6+2861.68</f>
        <v>100180.12999999999</v>
      </c>
      <c r="D162" s="299">
        <v>46403.11</v>
      </c>
      <c r="E162" s="299">
        <v>788.43</v>
      </c>
      <c r="F162" s="111">
        <f>7.88+756.25</f>
        <v>764.13</v>
      </c>
      <c r="G162" s="112">
        <f t="shared" si="47"/>
        <v>-24.299999999999955</v>
      </c>
      <c r="H162" s="113">
        <f t="shared" si="48"/>
        <v>-3.0820745024922894E-2</v>
      </c>
      <c r="I162" s="133"/>
      <c r="J162" s="299">
        <v>1442.6799999999998</v>
      </c>
      <c r="K162" s="111">
        <f>-55+11.88+756.25</f>
        <v>713.13</v>
      </c>
      <c r="L162" s="112">
        <f t="shared" si="49"/>
        <v>-729.54999999999984</v>
      </c>
      <c r="M162" s="113">
        <f t="shared" si="50"/>
        <v>-0.50569079768209158</v>
      </c>
      <c r="N162" s="441" t="s">
        <v>252</v>
      </c>
      <c r="O162" s="299">
        <v>46403.11</v>
      </c>
      <c r="P162" s="111">
        <f>2693.6+520+520+25.53-55+756.25+5440.41+10610.13+23770.34+23811.5</f>
        <v>68092.759999999995</v>
      </c>
      <c r="Q162" s="112">
        <f t="shared" si="51"/>
        <v>21689.649999999994</v>
      </c>
      <c r="R162" s="113">
        <f t="shared" si="52"/>
        <v>0.46741802435224694</v>
      </c>
      <c r="S162" s="441" t="s">
        <v>253</v>
      </c>
    </row>
    <row r="163" spans="1:19" ht="46.5" customHeight="1" x14ac:dyDescent="0.2">
      <c r="A163" s="543" t="s">
        <v>254</v>
      </c>
      <c r="B163" s="260" t="s">
        <v>255</v>
      </c>
      <c r="C163" s="261">
        <f>C3+C154</f>
        <v>26976530.84</v>
      </c>
      <c r="D163" s="296">
        <v>29257588.019999996</v>
      </c>
      <c r="E163" s="296">
        <v>6690466.9600000009</v>
      </c>
      <c r="F163" s="261">
        <f>F3+F154</f>
        <v>6902604.7799999993</v>
      </c>
      <c r="G163" s="262">
        <f t="shared" si="47"/>
        <v>212137.81999999844</v>
      </c>
      <c r="H163" s="263">
        <f t="shared" si="48"/>
        <v>3.1707475915851234E-2</v>
      </c>
      <c r="I163" s="264"/>
      <c r="J163" s="296">
        <v>13465652.15</v>
      </c>
      <c r="K163" s="261">
        <f>K3+K154</f>
        <v>14364751.439999998</v>
      </c>
      <c r="L163" s="262">
        <f t="shared" si="49"/>
        <v>899099.28999999724</v>
      </c>
      <c r="M163" s="263">
        <f t="shared" si="50"/>
        <v>6.6769828893879252E-2</v>
      </c>
      <c r="N163" s="264"/>
      <c r="O163" s="296">
        <v>29257588.019999996</v>
      </c>
      <c r="P163" s="261">
        <f>P3+P154</f>
        <v>30251407.640000004</v>
      </c>
      <c r="Q163" s="262">
        <f t="shared" si="51"/>
        <v>993819.62000000849</v>
      </c>
      <c r="R163" s="263">
        <f t="shared" si="52"/>
        <v>3.3967927203043875E-2</v>
      </c>
      <c r="S163" s="264"/>
    </row>
    <row r="164" spans="1:19" ht="46.5" customHeight="1" x14ac:dyDescent="0.2">
      <c r="A164" s="557">
        <v>8000</v>
      </c>
      <c r="B164" s="143" t="s">
        <v>256</v>
      </c>
      <c r="C164" s="140">
        <f>SUM(C165:C171)</f>
        <v>201653.66999999998</v>
      </c>
      <c r="D164" s="298">
        <v>201713.21</v>
      </c>
      <c r="E164" s="298">
        <v>10277.06</v>
      </c>
      <c r="F164" s="140">
        <f>SUM(F165:F171)</f>
        <v>10470.039999999999</v>
      </c>
      <c r="G164" s="141">
        <f t="shared" si="47"/>
        <v>192.97999999999956</v>
      </c>
      <c r="H164" s="142">
        <f t="shared" si="48"/>
        <v>1.8777743829460913E-2</v>
      </c>
      <c r="I164" s="717" t="s">
        <v>257</v>
      </c>
      <c r="J164" s="298">
        <v>18868.87</v>
      </c>
      <c r="K164" s="140">
        <f>SUM(K165:K171)</f>
        <v>18208.989999999998</v>
      </c>
      <c r="L164" s="141">
        <f t="shared" si="49"/>
        <v>-659.88000000000102</v>
      </c>
      <c r="M164" s="142">
        <f t="shared" si="50"/>
        <v>-3.4971887558714491E-2</v>
      </c>
      <c r="N164" s="717" t="s">
        <v>258</v>
      </c>
      <c r="O164" s="298">
        <v>201713.21</v>
      </c>
      <c r="P164" s="140">
        <f>SUM(P165:P171)</f>
        <v>148907.37</v>
      </c>
      <c r="Q164" s="141">
        <f t="shared" si="51"/>
        <v>-52805.84</v>
      </c>
      <c r="R164" s="142">
        <f t="shared" si="52"/>
        <v>-0.26178672185128576</v>
      </c>
      <c r="S164" s="728" t="s">
        <v>259</v>
      </c>
    </row>
    <row r="165" spans="1:19" ht="46.5" customHeight="1" x14ac:dyDescent="0.2">
      <c r="A165" s="241">
        <v>8100</v>
      </c>
      <c r="B165" s="52" t="s">
        <v>260</v>
      </c>
      <c r="C165" s="111">
        <v>3.49</v>
      </c>
      <c r="D165" s="299">
        <v>3.5</v>
      </c>
      <c r="E165" s="299">
        <v>0</v>
      </c>
      <c r="F165" s="111"/>
      <c r="G165" s="112">
        <f t="shared" si="47"/>
        <v>0</v>
      </c>
      <c r="H165" s="113" t="str">
        <f t="shared" si="48"/>
        <v>-</v>
      </c>
      <c r="I165" s="718"/>
      <c r="J165" s="299">
        <v>3.5</v>
      </c>
      <c r="K165" s="111"/>
      <c r="L165" s="129">
        <f t="shared" si="49"/>
        <v>-3.5</v>
      </c>
      <c r="M165" s="130">
        <f t="shared" si="50"/>
        <v>-1</v>
      </c>
      <c r="N165" s="718"/>
      <c r="O165" s="299">
        <v>3.5</v>
      </c>
      <c r="P165" s="111"/>
      <c r="Q165" s="112">
        <f t="shared" si="51"/>
        <v>-3.5</v>
      </c>
      <c r="R165" s="113">
        <f t="shared" si="52"/>
        <v>-1</v>
      </c>
      <c r="S165" s="729"/>
    </row>
    <row r="166" spans="1:19" ht="46.5" customHeight="1" x14ac:dyDescent="0.2">
      <c r="A166" s="241">
        <v>8200</v>
      </c>
      <c r="B166" s="52" t="s">
        <v>261</v>
      </c>
      <c r="C166" s="111">
        <v>2.17</v>
      </c>
      <c r="D166" s="299">
        <v>0</v>
      </c>
      <c r="E166" s="299">
        <v>0</v>
      </c>
      <c r="F166" s="111"/>
      <c r="G166" s="112">
        <f t="shared" si="47"/>
        <v>0</v>
      </c>
      <c r="H166" s="113" t="str">
        <f t="shared" si="48"/>
        <v>-</v>
      </c>
      <c r="I166" s="718"/>
      <c r="J166" s="299">
        <v>0</v>
      </c>
      <c r="K166" s="111"/>
      <c r="L166" s="129">
        <f t="shared" si="49"/>
        <v>0</v>
      </c>
      <c r="M166" s="130" t="str">
        <f t="shared" si="50"/>
        <v>-</v>
      </c>
      <c r="N166" s="718"/>
      <c r="O166" s="299">
        <v>0</v>
      </c>
      <c r="P166" s="111"/>
      <c r="Q166" s="112">
        <f t="shared" si="51"/>
        <v>0</v>
      </c>
      <c r="R166" s="113" t="str">
        <f t="shared" si="52"/>
        <v>-</v>
      </c>
      <c r="S166" s="729"/>
    </row>
    <row r="167" spans="1:19" ht="46.5" customHeight="1" x14ac:dyDescent="0.2">
      <c r="A167" s="241">
        <v>8300</v>
      </c>
      <c r="B167" s="52" t="s">
        <v>262</v>
      </c>
      <c r="C167" s="111">
        <v>31835.17</v>
      </c>
      <c r="D167" s="299">
        <v>31835.07</v>
      </c>
      <c r="E167" s="299">
        <v>1970.32</v>
      </c>
      <c r="F167" s="115"/>
      <c r="G167" s="129">
        <f t="shared" si="47"/>
        <v>-1970.32</v>
      </c>
      <c r="H167" s="130">
        <f t="shared" si="48"/>
        <v>-1</v>
      </c>
      <c r="I167" s="718"/>
      <c r="J167" s="299">
        <v>6774.36</v>
      </c>
      <c r="K167" s="115">
        <v>106.94</v>
      </c>
      <c r="L167" s="129">
        <f t="shared" si="49"/>
        <v>-6667.42</v>
      </c>
      <c r="M167" s="130">
        <f t="shared" si="50"/>
        <v>-0.98421400693202021</v>
      </c>
      <c r="N167" s="718"/>
      <c r="O167" s="300">
        <v>31835.07</v>
      </c>
      <c r="P167" s="115">
        <f>5880.07</f>
        <v>5880.07</v>
      </c>
      <c r="Q167" s="112">
        <f t="shared" si="51"/>
        <v>-25955</v>
      </c>
      <c r="R167" s="113">
        <f t="shared" si="52"/>
        <v>-0.81529583569315223</v>
      </c>
      <c r="S167" s="729"/>
    </row>
    <row r="168" spans="1:19" ht="46.5" customHeight="1" x14ac:dyDescent="0.2">
      <c r="A168" s="241">
        <v>8600</v>
      </c>
      <c r="B168" s="52" t="s">
        <v>263</v>
      </c>
      <c r="C168" s="111">
        <v>33144.129999999997</v>
      </c>
      <c r="D168" s="299">
        <v>0</v>
      </c>
      <c r="E168" s="299">
        <v>0</v>
      </c>
      <c r="F168" s="111"/>
      <c r="G168" s="112">
        <f t="shared" si="47"/>
        <v>0</v>
      </c>
      <c r="H168" s="113" t="str">
        <f t="shared" si="48"/>
        <v>-</v>
      </c>
      <c r="I168" s="718"/>
      <c r="J168" s="299">
        <v>0</v>
      </c>
      <c r="K168" s="111"/>
      <c r="L168" s="129">
        <f t="shared" si="49"/>
        <v>0</v>
      </c>
      <c r="M168" s="130" t="str">
        <f t="shared" si="50"/>
        <v>-</v>
      </c>
      <c r="N168" s="718"/>
      <c r="O168" s="299">
        <v>0</v>
      </c>
      <c r="P168" s="111">
        <v>30203.19</v>
      </c>
      <c r="Q168" s="112">
        <f t="shared" si="51"/>
        <v>30203.19</v>
      </c>
      <c r="R168" s="113" t="str">
        <f t="shared" si="52"/>
        <v>-</v>
      </c>
      <c r="S168" s="729"/>
    </row>
    <row r="169" spans="1:19" ht="46.5" customHeight="1" x14ac:dyDescent="0.2">
      <c r="A169" s="241">
        <v>8700</v>
      </c>
      <c r="B169" s="52" t="s">
        <v>264</v>
      </c>
      <c r="C169" s="111">
        <v>113938.12</v>
      </c>
      <c r="D169" s="299">
        <v>113938.12</v>
      </c>
      <c r="E169" s="299">
        <v>0</v>
      </c>
      <c r="F169" s="111"/>
      <c r="G169" s="112">
        <f t="shared" si="47"/>
        <v>0</v>
      </c>
      <c r="H169" s="113" t="str">
        <f t="shared" si="48"/>
        <v>-</v>
      </c>
      <c r="I169" s="718"/>
      <c r="J169" s="299">
        <v>0</v>
      </c>
      <c r="K169" s="111"/>
      <c r="L169" s="129">
        <f t="shared" si="49"/>
        <v>0</v>
      </c>
      <c r="M169" s="130" t="str">
        <f t="shared" si="50"/>
        <v>-</v>
      </c>
      <c r="N169" s="718"/>
      <c r="O169" s="299">
        <v>113938.12</v>
      </c>
      <c r="P169" s="111">
        <v>74293.42</v>
      </c>
      <c r="Q169" s="112">
        <f t="shared" si="51"/>
        <v>-39644.699999999997</v>
      </c>
      <c r="R169" s="113">
        <f t="shared" si="52"/>
        <v>-0.34794939568951988</v>
      </c>
      <c r="S169" s="729"/>
    </row>
    <row r="170" spans="1:19" ht="46.5" customHeight="1" x14ac:dyDescent="0.2">
      <c r="A170" s="241">
        <v>8800</v>
      </c>
      <c r="B170" s="138" t="s">
        <v>265</v>
      </c>
      <c r="C170" s="111">
        <f>17965.52+4765+0.07</f>
        <v>22730.59</v>
      </c>
      <c r="D170" s="299">
        <v>55936.51999999999</v>
      </c>
      <c r="E170" s="299">
        <v>8306.74</v>
      </c>
      <c r="F170" s="111">
        <f>66.21+345.11+1154.89+555.7+8348.38-0.25</f>
        <v>10470.039999999999</v>
      </c>
      <c r="G170" s="112">
        <f t="shared" si="47"/>
        <v>2163.2999999999993</v>
      </c>
      <c r="H170" s="113">
        <f t="shared" si="48"/>
        <v>0.2604270748813613</v>
      </c>
      <c r="I170" s="718"/>
      <c r="J170" s="299">
        <v>12091.009999999998</v>
      </c>
      <c r="K170" s="111">
        <f>215.42+345.11+1154.89+2038.25+14348.38</f>
        <v>18102.05</v>
      </c>
      <c r="L170" s="129">
        <f t="shared" si="49"/>
        <v>6011.0400000000009</v>
      </c>
      <c r="M170" s="130">
        <f t="shared" si="50"/>
        <v>0.49714953506779019</v>
      </c>
      <c r="N170" s="718"/>
      <c r="O170" s="300">
        <v>55936.51999999999</v>
      </c>
      <c r="P170" s="111">
        <f>1845.11+582.17+3099.89+4901.74+28098.38+3.4</f>
        <v>38530.69</v>
      </c>
      <c r="Q170" s="112">
        <f t="shared" si="51"/>
        <v>-17405.829999999987</v>
      </c>
      <c r="R170" s="113">
        <f t="shared" si="52"/>
        <v>-0.31117112755673737</v>
      </c>
      <c r="S170" s="729"/>
    </row>
    <row r="171" spans="1:19" ht="46.5" customHeight="1" x14ac:dyDescent="0.2">
      <c r="A171" s="252">
        <v>8900</v>
      </c>
      <c r="B171" s="139" t="s">
        <v>266</v>
      </c>
      <c r="C171" s="111"/>
      <c r="D171" s="299">
        <v>0</v>
      </c>
      <c r="E171" s="299">
        <v>0</v>
      </c>
      <c r="F171" s="111"/>
      <c r="G171" s="112">
        <f t="shared" si="47"/>
        <v>0</v>
      </c>
      <c r="H171" s="113" t="str">
        <f t="shared" si="48"/>
        <v>-</v>
      </c>
      <c r="I171" s="719"/>
      <c r="J171" s="299">
        <v>0</v>
      </c>
      <c r="K171" s="111"/>
      <c r="L171" s="129">
        <f t="shared" si="49"/>
        <v>0</v>
      </c>
      <c r="M171" s="130" t="str">
        <f t="shared" si="50"/>
        <v>-</v>
      </c>
      <c r="N171" s="719"/>
      <c r="O171" s="299">
        <v>0</v>
      </c>
      <c r="P171" s="111"/>
      <c r="Q171" s="112">
        <f t="shared" si="51"/>
        <v>0</v>
      </c>
      <c r="R171" s="113" t="str">
        <f t="shared" si="52"/>
        <v>-</v>
      </c>
      <c r="S171" s="730"/>
    </row>
    <row r="172" spans="1:19" ht="46.5" customHeight="1" x14ac:dyDescent="0.2">
      <c r="A172" s="543" t="s">
        <v>267</v>
      </c>
      <c r="B172" s="260" t="s">
        <v>268</v>
      </c>
      <c r="C172" s="261">
        <f t="shared" ref="C172" si="59">C144+C146+C164</f>
        <v>27776537.330000006</v>
      </c>
      <c r="D172" s="296">
        <v>29256518.4149132</v>
      </c>
      <c r="E172" s="296">
        <v>7449010.6200000001</v>
      </c>
      <c r="F172" s="261">
        <f>F144+F146+F164</f>
        <v>7417136.4400000004</v>
      </c>
      <c r="G172" s="262">
        <f t="shared" si="47"/>
        <v>-31874.179999999702</v>
      </c>
      <c r="H172" s="263">
        <f t="shared" si="48"/>
        <v>-4.2789816830734635E-3</v>
      </c>
      <c r="I172" s="264"/>
      <c r="J172" s="296">
        <v>14548601.0787392</v>
      </c>
      <c r="K172" s="261">
        <f>K144+K146+K164</f>
        <v>14943139.359999998</v>
      </c>
      <c r="L172" s="262">
        <f t="shared" si="49"/>
        <v>394538.28126079775</v>
      </c>
      <c r="M172" s="263">
        <f t="shared" si="50"/>
        <v>2.7118640419480727E-2</v>
      </c>
      <c r="N172" s="264"/>
      <c r="O172" s="296">
        <v>29256518.414913204</v>
      </c>
      <c r="P172" s="261">
        <f>P144+P146+P164</f>
        <v>30804336.420000002</v>
      </c>
      <c r="Q172" s="262">
        <f t="shared" si="51"/>
        <v>1547818.0050867982</v>
      </c>
      <c r="R172" s="263">
        <f t="shared" si="52"/>
        <v>5.2905064886251615E-2</v>
      </c>
      <c r="S172" s="264"/>
    </row>
    <row r="173" spans="1:19" ht="46.5" customHeight="1" x14ac:dyDescent="0.2">
      <c r="A173" s="558" t="s">
        <v>269</v>
      </c>
      <c r="B173" s="255" t="s">
        <v>270</v>
      </c>
      <c r="C173" s="256">
        <f>C153+C154-C164</f>
        <v>-800006.49000000302</v>
      </c>
      <c r="D173" s="422">
        <v>1069.6050867992453</v>
      </c>
      <c r="E173" s="423">
        <v>-758543.6600000005</v>
      </c>
      <c r="F173" s="256">
        <f>F153+F154-F164</f>
        <v>-514531.66000000061</v>
      </c>
      <c r="G173" s="257">
        <f t="shared" si="47"/>
        <v>244011.99999999988</v>
      </c>
      <c r="H173" s="258">
        <f t="shared" si="48"/>
        <v>0.32168484540494308</v>
      </c>
      <c r="I173" s="259"/>
      <c r="J173" s="308">
        <v>-1082948.9287392001</v>
      </c>
      <c r="K173" s="256">
        <f>K153+K154-K164</f>
        <v>-578387.92000000051</v>
      </c>
      <c r="L173" s="257">
        <f>K173-J173</f>
        <v>504561.00873919961</v>
      </c>
      <c r="M173" s="258">
        <f t="shared" si="50"/>
        <v>0.46591394603125363</v>
      </c>
      <c r="N173" s="259"/>
      <c r="O173" s="308">
        <v>1069.6050867992501</v>
      </c>
      <c r="P173" s="256">
        <f>P153+P154-P164</f>
        <v>-552928.7799999977</v>
      </c>
      <c r="Q173" s="257">
        <f t="shared" si="51"/>
        <v>-553998.38508679694</v>
      </c>
      <c r="R173" s="258">
        <f t="shared" si="52"/>
        <v>-517.9466626739918</v>
      </c>
      <c r="S173" s="259"/>
    </row>
    <row r="174" spans="1:19" ht="46.5" customHeight="1" x14ac:dyDescent="0.2">
      <c r="F174" s="390"/>
      <c r="J174" s="4" t="s">
        <v>235</v>
      </c>
    </row>
    <row r="175" spans="1:19" ht="46.5" customHeight="1" x14ac:dyDescent="0.2">
      <c r="A175" s="703" t="s">
        <v>271</v>
      </c>
      <c r="B175" s="703"/>
      <c r="C175" s="151"/>
      <c r="D175" s="152"/>
      <c r="E175" s="152"/>
      <c r="F175" s="152"/>
      <c r="G175" s="152"/>
      <c r="H175" s="152"/>
      <c r="I175" s="152"/>
    </row>
    <row r="176" spans="1:19" ht="57.75" customHeight="1" x14ac:dyDescent="0.2">
      <c r="A176" s="701" t="s">
        <v>272</v>
      </c>
      <c r="B176" s="701"/>
      <c r="C176" s="701"/>
      <c r="D176" s="701"/>
      <c r="E176" s="701"/>
      <c r="F176" s="147"/>
      <c r="G176" s="147"/>
      <c r="H176" s="147"/>
      <c r="I176" s="147"/>
      <c r="J176" s="1"/>
      <c r="K176" s="1"/>
      <c r="L176" s="1"/>
      <c r="M176" s="1"/>
      <c r="N176" s="1"/>
      <c r="O176" s="1"/>
      <c r="P176" s="1"/>
      <c r="Q176" s="1"/>
      <c r="R176" s="1"/>
      <c r="S176" s="1"/>
    </row>
    <row r="177" spans="1:9" ht="46.5" customHeight="1" x14ac:dyDescent="0.2">
      <c r="A177" s="700" t="s">
        <v>273</v>
      </c>
      <c r="B177" s="700"/>
      <c r="C177" s="700"/>
      <c r="D177" s="700"/>
      <c r="E177" s="700"/>
      <c r="F177" s="152"/>
      <c r="G177" s="152"/>
      <c r="H177" s="152"/>
      <c r="I177" s="152"/>
    </row>
    <row r="178" spans="1:9" ht="58.5" customHeight="1" x14ac:dyDescent="0.2">
      <c r="A178" s="701" t="s">
        <v>274</v>
      </c>
      <c r="B178" s="701"/>
      <c r="C178" s="701"/>
      <c r="D178" s="701"/>
      <c r="E178" s="701"/>
      <c r="F178" s="152"/>
      <c r="G178" s="152"/>
      <c r="H178" s="152"/>
      <c r="I178" s="152"/>
    </row>
    <row r="179" spans="1:9" ht="46.5" customHeight="1" x14ac:dyDescent="0.2">
      <c r="A179" s="702" t="s">
        <v>275</v>
      </c>
      <c r="B179" s="702"/>
      <c r="C179" s="702"/>
      <c r="D179" s="702"/>
      <c r="E179" s="702"/>
      <c r="F179" s="152"/>
      <c r="G179" s="152"/>
      <c r="H179" s="152"/>
      <c r="I179" s="152"/>
    </row>
    <row r="180" spans="1:9" ht="46.5" customHeight="1" x14ac:dyDescent="0.2">
      <c r="A180" s="702" t="s">
        <v>276</v>
      </c>
      <c r="B180" s="702"/>
      <c r="C180" s="702"/>
      <c r="D180" s="702"/>
      <c r="E180" s="702"/>
      <c r="F180" s="256">
        <f>F160+F161-F171</f>
        <v>0</v>
      </c>
      <c r="G180" s="152"/>
      <c r="H180" s="152"/>
      <c r="I180" s="152"/>
    </row>
  </sheetData>
  <sheetProtection formatColumns="0" formatRows="0"/>
  <mergeCells count="72">
    <mergeCell ref="S74:S81"/>
    <mergeCell ref="S148:S152"/>
    <mergeCell ref="S114:S117"/>
    <mergeCell ref="S119:S125"/>
    <mergeCell ref="S130:S137"/>
    <mergeCell ref="S82:S88"/>
    <mergeCell ref="S90:S95"/>
    <mergeCell ref="S22:S26"/>
    <mergeCell ref="S35:S38"/>
    <mergeCell ref="S39:S47"/>
    <mergeCell ref="S52:S57"/>
    <mergeCell ref="S68:S73"/>
    <mergeCell ref="S5:S9"/>
    <mergeCell ref="S10:S12"/>
    <mergeCell ref="S13:S15"/>
    <mergeCell ref="S16:S18"/>
    <mergeCell ref="S19:S21"/>
    <mergeCell ref="S154:S161"/>
    <mergeCell ref="S164:S171"/>
    <mergeCell ref="N130:N137"/>
    <mergeCell ref="N96:N101"/>
    <mergeCell ref="N114:N117"/>
    <mergeCell ref="N119:N125"/>
    <mergeCell ref="N109:N112"/>
    <mergeCell ref="S96:S101"/>
    <mergeCell ref="S104:S108"/>
    <mergeCell ref="S109:S112"/>
    <mergeCell ref="N104:N108"/>
    <mergeCell ref="N154:N161"/>
    <mergeCell ref="N164:N171"/>
    <mergeCell ref="N148:N152"/>
    <mergeCell ref="N90:N95"/>
    <mergeCell ref="N68:N73"/>
    <mergeCell ref="N74:N81"/>
    <mergeCell ref="N5:N9"/>
    <mergeCell ref="N10:N12"/>
    <mergeCell ref="N13:N15"/>
    <mergeCell ref="N16:N18"/>
    <mergeCell ref="N19:N21"/>
    <mergeCell ref="N22:N26"/>
    <mergeCell ref="N35:N38"/>
    <mergeCell ref="N39:N47"/>
    <mergeCell ref="N52:N57"/>
    <mergeCell ref="N82:N88"/>
    <mergeCell ref="I96:I101"/>
    <mergeCell ref="I104:I108"/>
    <mergeCell ref="I109:I112"/>
    <mergeCell ref="I164:I171"/>
    <mergeCell ref="I119:I125"/>
    <mergeCell ref="I130:I137"/>
    <mergeCell ref="I114:I117"/>
    <mergeCell ref="A175:B175"/>
    <mergeCell ref="I148:I152"/>
    <mergeCell ref="I154:I161"/>
    <mergeCell ref="I35:I38"/>
    <mergeCell ref="I5:I9"/>
    <mergeCell ref="I10:I12"/>
    <mergeCell ref="I13:I15"/>
    <mergeCell ref="I16:I18"/>
    <mergeCell ref="I19:I21"/>
    <mergeCell ref="I22:I26"/>
    <mergeCell ref="I39:I47"/>
    <mergeCell ref="I52:I57"/>
    <mergeCell ref="I68:I73"/>
    <mergeCell ref="I74:I81"/>
    <mergeCell ref="I82:I88"/>
    <mergeCell ref="I90:I95"/>
    <mergeCell ref="A177:E177"/>
    <mergeCell ref="A178:E178"/>
    <mergeCell ref="A179:E179"/>
    <mergeCell ref="A180:E180"/>
    <mergeCell ref="A176:E176"/>
  </mergeCells>
  <phoneticPr fontId="49" type="noConversion"/>
  <pageMargins left="0.25" right="0.25" top="0.75" bottom="0.75" header="0.3" footer="0.3"/>
  <pageSetup paperSize="9" scale="45" fitToHeight="0" orientation="portrait" r:id="rId1"/>
  <headerFooter>
    <oddHeader>&amp;C&amp;"Times New Roman,Bold"&amp;14Budžeta&amp;"Times New Roman,Regular" &amp;"Times New Roman,Bold"tāme&amp;R&amp;"Times New Roman,Regular"&amp;14 1.pielikums</oddHeader>
    <oddFooter>&amp;C&amp;"Times New Roman,Regular"&amp;12&amp;F&amp;R&amp;"Times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pageSetUpPr fitToPage="1"/>
  </sheetPr>
  <dimension ref="A1:AH34"/>
  <sheetViews>
    <sheetView view="pageBreakPreview" zoomScale="85" zoomScaleNormal="85" zoomScaleSheetLayoutView="85" zoomScalePageLayoutView="70" workbookViewId="0">
      <pane ySplit="1" topLeftCell="A2" activePane="bottomLeft" state="frozen"/>
      <selection pane="bottomLeft" activeCell="S1" sqref="S1"/>
    </sheetView>
  </sheetViews>
  <sheetFormatPr defaultColWidth="9.140625" defaultRowHeight="18" outlineLevelCol="1" x14ac:dyDescent="0.2"/>
  <cols>
    <col min="1" max="1" width="9.28515625" style="5" bestFit="1" customWidth="1"/>
    <col min="2" max="2" width="23.5703125" style="5" customWidth="1"/>
    <col min="3" max="3" width="16.5703125" style="5" customWidth="1"/>
    <col min="4" max="5" width="16.5703125" style="5" hidden="1" customWidth="1"/>
    <col min="6" max="8" width="16.5703125" style="5" hidden="1" customWidth="1" outlineLevel="1"/>
    <col min="9" max="9" width="38.42578125" style="348" hidden="1" customWidth="1" outlineLevel="1"/>
    <col min="10" max="10" width="21.42578125" style="5" hidden="1" customWidth="1" collapsed="1"/>
    <col min="11" max="13" width="16.5703125" style="5" hidden="1" customWidth="1" outlineLevel="1"/>
    <col min="14" max="14" width="38.42578125" style="5" hidden="1" customWidth="1" outlineLevel="1"/>
    <col min="15" max="15" width="19.7109375" style="5" hidden="1" customWidth="1" collapsed="1"/>
    <col min="16" max="18" width="16.5703125" style="5" hidden="1" customWidth="1" outlineLevel="1"/>
    <col min="19" max="19" width="38.42578125" style="5" hidden="1" customWidth="1" outlineLevel="1"/>
    <col min="20" max="20" width="16.5703125" style="5" customWidth="1" collapsed="1"/>
    <col min="21" max="23" width="16.5703125" style="5" customWidth="1" outlineLevel="1"/>
    <col min="24" max="24" width="31.85546875" style="5" customWidth="1" outlineLevel="1"/>
    <col min="25" max="26" width="9.140625" style="5" customWidth="1"/>
    <col min="27" max="27" width="14" style="5" customWidth="1"/>
    <col min="28" max="28" width="14.5703125" style="5" customWidth="1"/>
    <col min="29" max="29" width="9.140625" style="5"/>
    <col min="30" max="31" width="10.42578125" style="5" bestFit="1" customWidth="1"/>
    <col min="32" max="32" width="9.140625" style="5"/>
    <col min="33" max="33" width="9.85546875" style="5" bestFit="1" customWidth="1"/>
    <col min="34" max="16384" width="9.140625" style="5"/>
  </cols>
  <sheetData>
    <row r="1" spans="1:34" ht="78.75" x14ac:dyDescent="0.2">
      <c r="A1" s="309" t="s">
        <v>277</v>
      </c>
      <c r="B1" s="309" t="s">
        <v>278</v>
      </c>
      <c r="C1" s="310" t="s">
        <v>2</v>
      </c>
      <c r="D1" s="310" t="s">
        <v>3</v>
      </c>
      <c r="E1" s="310" t="s">
        <v>4</v>
      </c>
      <c r="F1" s="310" t="s">
        <v>5</v>
      </c>
      <c r="G1" s="311" t="s">
        <v>6</v>
      </c>
      <c r="H1" s="312" t="s">
        <v>7</v>
      </c>
      <c r="I1" s="310" t="s">
        <v>279</v>
      </c>
      <c r="J1" s="310" t="s">
        <v>9</v>
      </c>
      <c r="K1" s="310" t="s">
        <v>10</v>
      </c>
      <c r="L1" s="311" t="s">
        <v>6</v>
      </c>
      <c r="M1" s="312" t="s">
        <v>7</v>
      </c>
      <c r="N1" s="310" t="s">
        <v>279</v>
      </c>
      <c r="O1" s="310" t="s">
        <v>280</v>
      </c>
      <c r="P1" s="310" t="s">
        <v>281</v>
      </c>
      <c r="Q1" s="359" t="s">
        <v>6</v>
      </c>
      <c r="R1" s="360" t="s">
        <v>7</v>
      </c>
      <c r="S1" s="310" t="s">
        <v>279</v>
      </c>
      <c r="T1" s="310" t="s">
        <v>11</v>
      </c>
      <c r="U1" s="310" t="s">
        <v>282</v>
      </c>
      <c r="V1" s="359" t="s">
        <v>6</v>
      </c>
      <c r="W1" s="360" t="s">
        <v>7</v>
      </c>
      <c r="X1" s="310" t="s">
        <v>279</v>
      </c>
    </row>
    <row r="2" spans="1:34" x14ac:dyDescent="0.2">
      <c r="A2" s="309">
        <v>1</v>
      </c>
      <c r="B2" s="309">
        <v>2</v>
      </c>
      <c r="C2" s="310">
        <v>3</v>
      </c>
      <c r="D2" s="310">
        <v>4</v>
      </c>
      <c r="E2" s="310">
        <v>5</v>
      </c>
      <c r="F2" s="310">
        <v>6</v>
      </c>
      <c r="G2" s="311">
        <v>7</v>
      </c>
      <c r="H2" s="313">
        <v>8</v>
      </c>
      <c r="I2" s="310"/>
      <c r="J2" s="310">
        <v>10</v>
      </c>
      <c r="K2" s="310">
        <v>11</v>
      </c>
      <c r="L2" s="311">
        <v>12</v>
      </c>
      <c r="M2" s="313">
        <v>13</v>
      </c>
      <c r="N2" s="310">
        <v>14</v>
      </c>
      <c r="O2" s="310">
        <v>15</v>
      </c>
      <c r="P2" s="310">
        <v>16</v>
      </c>
      <c r="Q2" s="359">
        <v>17</v>
      </c>
      <c r="R2" s="361">
        <v>18</v>
      </c>
      <c r="S2" s="310">
        <v>19</v>
      </c>
      <c r="T2" s="310">
        <v>20</v>
      </c>
      <c r="U2" s="310">
        <v>21</v>
      </c>
      <c r="V2" s="359">
        <v>17</v>
      </c>
      <c r="W2" s="361">
        <v>18</v>
      </c>
      <c r="X2" s="310">
        <v>24</v>
      </c>
    </row>
    <row r="3" spans="1:34" ht="110.25" x14ac:dyDescent="0.2">
      <c r="A3" s="309">
        <v>1</v>
      </c>
      <c r="B3" s="314" t="s">
        <v>283</v>
      </c>
      <c r="C3" s="315">
        <v>26256607</v>
      </c>
      <c r="D3" s="316">
        <v>28476791</v>
      </c>
      <c r="E3" s="317">
        <v>6511919</v>
      </c>
      <c r="F3" s="316">
        <v>6751682</v>
      </c>
      <c r="G3" s="318">
        <f>F3-E3</f>
        <v>239763</v>
      </c>
      <c r="H3" s="319">
        <f>IFERROR(G3/ABS(E3), "-")</f>
        <v>3.6819100483283039E-2</v>
      </c>
      <c r="I3" s="440" t="s">
        <v>284</v>
      </c>
      <c r="J3" s="317">
        <v>13106294</v>
      </c>
      <c r="K3" s="316">
        <v>14072635</v>
      </c>
      <c r="L3" s="318">
        <f>K3-J3</f>
        <v>966341</v>
      </c>
      <c r="M3" s="327">
        <f t="shared" ref="M3:M9" si="0">IFERROR(L3/ABS(J3), "-")</f>
        <v>7.3731063869008281E-2</v>
      </c>
      <c r="N3" s="316"/>
      <c r="O3" s="317">
        <v>20256061</v>
      </c>
      <c r="P3" s="315">
        <v>21385916</v>
      </c>
      <c r="Q3" s="320">
        <f>P3-O3</f>
        <v>1129855</v>
      </c>
      <c r="R3" s="364">
        <f>IFERROR(Q3/ABS(O3), "-")</f>
        <v>5.5778613620881178E-2</v>
      </c>
      <c r="S3" s="364"/>
      <c r="T3" s="315">
        <v>28476791</v>
      </c>
      <c r="U3" s="315">
        <v>29551211</v>
      </c>
      <c r="V3" s="320">
        <f>U3-T3</f>
        <v>1074420</v>
      </c>
      <c r="W3" s="364">
        <f>IFERROR(V3/ABS(T3), "-")</f>
        <v>3.7729672560366793E-2</v>
      </c>
      <c r="X3" s="322"/>
    </row>
    <row r="4" spans="1:34" ht="144.75" customHeight="1" x14ac:dyDescent="0.2">
      <c r="A4" s="309">
        <v>2</v>
      </c>
      <c r="B4" s="314" t="s">
        <v>285</v>
      </c>
      <c r="C4" s="315">
        <v>25305689</v>
      </c>
      <c r="D4" s="317">
        <v>26654019</v>
      </c>
      <c r="E4" s="317">
        <v>6786384</v>
      </c>
      <c r="F4" s="316">
        <v>6857797</v>
      </c>
      <c r="G4" s="318">
        <f t="shared" ref="G4:G19" si="1">F4-E4</f>
        <v>71413</v>
      </c>
      <c r="H4" s="319">
        <f t="shared" ref="H4:H20" si="2">IFERROR(G4/ABS(E4), "-")</f>
        <v>1.052298248964397E-2</v>
      </c>
      <c r="I4" s="440" t="s">
        <v>286</v>
      </c>
      <c r="J4" s="317">
        <v>13254430</v>
      </c>
      <c r="K4" s="316">
        <v>13830387</v>
      </c>
      <c r="L4" s="318">
        <f t="shared" ref="L4" si="3">K4-J4</f>
        <v>575957</v>
      </c>
      <c r="M4" s="327">
        <f t="shared" si="0"/>
        <v>4.3453924461481934E-2</v>
      </c>
      <c r="N4" s="316"/>
      <c r="O4" s="317">
        <v>19572302</v>
      </c>
      <c r="P4" s="315">
        <v>21032709</v>
      </c>
      <c r="Q4" s="320">
        <f>P4-O4</f>
        <v>1460407</v>
      </c>
      <c r="R4" s="364">
        <f>IFERROR(Q4/ABS(O4), "-")</f>
        <v>7.4616005822922618E-2</v>
      </c>
      <c r="S4" s="507"/>
      <c r="T4" s="315">
        <v>26654019</v>
      </c>
      <c r="U4" s="315">
        <v>28109305</v>
      </c>
      <c r="V4" s="320">
        <f>U4-T4</f>
        <v>1455286</v>
      </c>
      <c r="W4" s="364">
        <f>IFERROR(V4/ABS(T4), "-")</f>
        <v>5.4599120680449732E-2</v>
      </c>
      <c r="X4" s="322"/>
    </row>
    <row r="5" spans="1:34" ht="121.5" customHeight="1" x14ac:dyDescent="0.2">
      <c r="A5" s="323">
        <v>3</v>
      </c>
      <c r="B5" s="324" t="s">
        <v>287</v>
      </c>
      <c r="C5" s="325">
        <f>C3-C4</f>
        <v>950918</v>
      </c>
      <c r="D5" s="325">
        <f t="shared" ref="D5:E5" si="4">D3-D4</f>
        <v>1822772</v>
      </c>
      <c r="E5" s="362">
        <f t="shared" si="4"/>
        <v>-274465</v>
      </c>
      <c r="F5" s="325">
        <f>F3-F4</f>
        <v>-106115</v>
      </c>
      <c r="G5" s="326">
        <f t="shared" si="1"/>
        <v>168350</v>
      </c>
      <c r="H5" s="327">
        <f t="shared" si="2"/>
        <v>0.61337511158071156</v>
      </c>
      <c r="I5" s="446" t="s">
        <v>288</v>
      </c>
      <c r="J5" s="362">
        <f t="shared" ref="J5" si="5">J3-J4</f>
        <v>-148136</v>
      </c>
      <c r="K5" s="325">
        <f>K3-K4</f>
        <v>242248</v>
      </c>
      <c r="L5" s="326">
        <f>K5-J5</f>
        <v>390384</v>
      </c>
      <c r="M5" s="327">
        <f t="shared" si="0"/>
        <v>2.6353080952638117</v>
      </c>
      <c r="N5" s="493" t="s">
        <v>289</v>
      </c>
      <c r="O5" s="362">
        <f>O3-O4</f>
        <v>683759</v>
      </c>
      <c r="P5" s="362">
        <f>P3-P4</f>
        <v>353207</v>
      </c>
      <c r="Q5" s="363">
        <f t="shared" ref="Q5" si="6">P5-O5</f>
        <v>-330552</v>
      </c>
      <c r="R5" s="364">
        <f t="shared" ref="R5:R7" si="7">IFERROR(Q5/ABS(O5), "-")</f>
        <v>-0.48343349045497025</v>
      </c>
      <c r="S5" s="493" t="s">
        <v>290</v>
      </c>
      <c r="T5" s="325">
        <f>T3-T4</f>
        <v>1822772</v>
      </c>
      <c r="U5" s="325">
        <f>U3-U4</f>
        <v>1441906</v>
      </c>
      <c r="V5" s="363">
        <f t="shared" ref="V5" si="8">U5-T5</f>
        <v>-380866</v>
      </c>
      <c r="W5" s="364">
        <f t="shared" ref="W5:W7" si="9">IFERROR(V5/ABS(T5), "-")</f>
        <v>-0.20894878789009266</v>
      </c>
      <c r="X5" s="575" t="s">
        <v>291</v>
      </c>
    </row>
    <row r="6" spans="1:34" ht="32.25" customHeight="1" x14ac:dyDescent="0.2">
      <c r="A6" s="309">
        <v>4</v>
      </c>
      <c r="B6" s="314" t="s">
        <v>292</v>
      </c>
      <c r="C6" s="315"/>
      <c r="D6" s="315"/>
      <c r="E6" s="315"/>
      <c r="F6" s="315"/>
      <c r="G6" s="320">
        <f t="shared" si="1"/>
        <v>0</v>
      </c>
      <c r="H6" s="321" t="str">
        <f t="shared" si="2"/>
        <v>-</v>
      </c>
      <c r="I6" s="343"/>
      <c r="J6" s="315"/>
      <c r="K6" s="315"/>
      <c r="L6" s="320">
        <f t="shared" ref="L6:L7" si="10">K6-J6</f>
        <v>0</v>
      </c>
      <c r="M6" s="321" t="str">
        <f t="shared" si="0"/>
        <v>-</v>
      </c>
      <c r="N6" s="322"/>
      <c r="O6" s="315"/>
      <c r="P6" s="315"/>
      <c r="Q6" s="320">
        <f>P6-O6</f>
        <v>0</v>
      </c>
      <c r="R6" s="321" t="str">
        <f t="shared" si="7"/>
        <v>-</v>
      </c>
      <c r="S6" s="322"/>
      <c r="T6" s="315"/>
      <c r="U6" s="315"/>
      <c r="V6" s="320">
        <f>U6-T6</f>
        <v>0</v>
      </c>
      <c r="W6" s="321" t="str">
        <f t="shared" si="9"/>
        <v>-</v>
      </c>
      <c r="X6" s="322"/>
    </row>
    <row r="7" spans="1:34" ht="31.5" customHeight="1" x14ac:dyDescent="0.2">
      <c r="A7" s="309">
        <v>5</v>
      </c>
      <c r="B7" s="314" t="s">
        <v>293</v>
      </c>
      <c r="C7" s="315">
        <v>1365606</v>
      </c>
      <c r="D7" s="315">
        <v>1438368</v>
      </c>
      <c r="E7" s="315">
        <v>366231</v>
      </c>
      <c r="F7" s="315">
        <v>373133</v>
      </c>
      <c r="G7" s="320">
        <f t="shared" si="1"/>
        <v>6902</v>
      </c>
      <c r="H7" s="321">
        <f t="shared" si="2"/>
        <v>1.8846028872487583E-2</v>
      </c>
      <c r="I7" s="343"/>
      <c r="J7" s="315">
        <v>715283</v>
      </c>
      <c r="K7" s="315">
        <v>758135</v>
      </c>
      <c r="L7" s="320">
        <f t="shared" si="10"/>
        <v>42852</v>
      </c>
      <c r="M7" s="327">
        <f t="shared" si="0"/>
        <v>5.9909154838015163E-2</v>
      </c>
      <c r="N7" s="322"/>
      <c r="O7" s="315">
        <v>1056229</v>
      </c>
      <c r="P7" s="315">
        <v>1138231</v>
      </c>
      <c r="Q7" s="320">
        <f t="shared" ref="Q7:Q9" si="11">P7-O7</f>
        <v>82002</v>
      </c>
      <c r="R7" s="321">
        <f t="shared" si="7"/>
        <v>7.7636573129501271E-2</v>
      </c>
      <c r="S7" s="421"/>
      <c r="T7" s="315">
        <v>1438368</v>
      </c>
      <c r="U7" s="315">
        <v>1580892</v>
      </c>
      <c r="V7" s="320">
        <f t="shared" ref="V7:V9" si="12">U7-T7</f>
        <v>142524</v>
      </c>
      <c r="W7" s="321">
        <f t="shared" si="9"/>
        <v>9.9087298938797308E-2</v>
      </c>
      <c r="X7" s="343"/>
    </row>
    <row r="8" spans="1:34" ht="145.5" customHeight="1" x14ac:dyDescent="0.25">
      <c r="A8" s="309">
        <v>6</v>
      </c>
      <c r="B8" s="314" t="s">
        <v>294</v>
      </c>
      <c r="C8" s="315">
        <v>719843</v>
      </c>
      <c r="D8" s="315">
        <v>780709</v>
      </c>
      <c r="E8" s="315">
        <v>178528</v>
      </c>
      <c r="F8" s="315">
        <v>150897</v>
      </c>
      <c r="G8" s="320">
        <f t="shared" si="1"/>
        <v>-27631</v>
      </c>
      <c r="H8" s="321">
        <f t="shared" si="2"/>
        <v>-0.15477124036565693</v>
      </c>
      <c r="I8" s="439" t="s">
        <v>295</v>
      </c>
      <c r="J8" s="315">
        <v>359318</v>
      </c>
      <c r="K8" s="315">
        <v>291928</v>
      </c>
      <c r="L8" s="320">
        <f t="shared" ref="L8:L9" si="13">K8-J8</f>
        <v>-67390</v>
      </c>
      <c r="M8" s="327">
        <f t="shared" si="0"/>
        <v>-0.18754974702074487</v>
      </c>
      <c r="N8" s="492" t="s">
        <v>296</v>
      </c>
      <c r="O8" s="315">
        <v>555333</v>
      </c>
      <c r="P8" s="315">
        <v>436344</v>
      </c>
      <c r="Q8" s="320">
        <f>P8-O8</f>
        <v>-118989</v>
      </c>
      <c r="R8" s="364">
        <f>IFERROR(Q8/ABS(O8), "-")</f>
        <v>-0.21426603497361044</v>
      </c>
      <c r="S8" s="538" t="s">
        <v>297</v>
      </c>
      <c r="T8" s="315">
        <v>780709</v>
      </c>
      <c r="U8" s="315">
        <v>698568</v>
      </c>
      <c r="V8" s="320">
        <f>U8-T8</f>
        <v>-82141</v>
      </c>
      <c r="W8" s="364">
        <f>IFERROR(V8/ABS(T8), "-")</f>
        <v>-0.10521333813238992</v>
      </c>
      <c r="X8" s="322"/>
    </row>
    <row r="9" spans="1:34" ht="180.75" customHeight="1" x14ac:dyDescent="0.25">
      <c r="A9" s="309">
        <v>7</v>
      </c>
      <c r="B9" s="314" t="s">
        <v>298</v>
      </c>
      <c r="C9" s="315">
        <v>1105242</v>
      </c>
      <c r="D9" s="315">
        <v>1164131</v>
      </c>
      <c r="E9" s="315">
        <v>296396</v>
      </c>
      <c r="F9" s="315">
        <v>186207</v>
      </c>
      <c r="G9" s="320">
        <f t="shared" si="1"/>
        <v>-110189</v>
      </c>
      <c r="H9" s="321">
        <f t="shared" si="2"/>
        <v>-0.37176277682559816</v>
      </c>
      <c r="I9" s="438" t="s">
        <v>299</v>
      </c>
      <c r="J9" s="315">
        <v>578888</v>
      </c>
      <c r="K9" s="315">
        <v>354617</v>
      </c>
      <c r="L9" s="320">
        <f t="shared" si="13"/>
        <v>-224271</v>
      </c>
      <c r="M9" s="327">
        <f t="shared" si="0"/>
        <v>-0.38741690966128162</v>
      </c>
      <c r="N9" s="492" t="s">
        <v>300</v>
      </c>
      <c r="O9" s="315">
        <v>854823</v>
      </c>
      <c r="P9" s="315">
        <v>525227</v>
      </c>
      <c r="Q9" s="320">
        <f t="shared" si="11"/>
        <v>-329596</v>
      </c>
      <c r="R9" s="540">
        <f>IFERROR(Q9/ABS(O9), "-")</f>
        <v>-0.38557221787434359</v>
      </c>
      <c r="S9" s="539" t="s">
        <v>301</v>
      </c>
      <c r="T9" s="541">
        <v>1164131</v>
      </c>
      <c r="U9" s="315">
        <v>1114139</v>
      </c>
      <c r="V9" s="320">
        <f t="shared" si="12"/>
        <v>-49992</v>
      </c>
      <c r="W9" s="540">
        <f>IFERROR(V9/ABS(T9), "-")</f>
        <v>-4.2943620606271972E-2</v>
      </c>
      <c r="X9" s="343"/>
      <c r="AB9" s="571"/>
      <c r="AC9" s="571"/>
      <c r="AE9" s="571"/>
      <c r="AF9" s="571"/>
    </row>
    <row r="10" spans="1:34" ht="26.25" customHeight="1" x14ac:dyDescent="0.2">
      <c r="A10" s="309">
        <v>8</v>
      </c>
      <c r="B10" s="314" t="s">
        <v>302</v>
      </c>
      <c r="C10" s="315"/>
      <c r="D10" s="315"/>
      <c r="E10" s="315"/>
      <c r="F10" s="315"/>
      <c r="G10" s="320">
        <f>F10-E10</f>
        <v>0</v>
      </c>
      <c r="H10" s="321" t="str">
        <f>IFERROR(G10/ABS(E10), "-")</f>
        <v>-</v>
      </c>
      <c r="I10" s="343"/>
      <c r="J10" s="315"/>
      <c r="K10" s="315"/>
      <c r="L10" s="320">
        <f>K10-J10</f>
        <v>0</v>
      </c>
      <c r="M10" s="321" t="str">
        <f>IFERROR(L10/ABS(J10), "-")</f>
        <v>-</v>
      </c>
      <c r="N10" s="322"/>
      <c r="O10" s="315"/>
      <c r="P10" s="315"/>
      <c r="Q10" s="320">
        <f>P10-O10</f>
        <v>0</v>
      </c>
      <c r="R10" s="321" t="str">
        <f>IFERROR(Q10/ABS(O10), "-")</f>
        <v>-</v>
      </c>
      <c r="S10" s="542"/>
      <c r="T10" s="315"/>
      <c r="U10" s="315"/>
      <c r="V10" s="320">
        <f>U10-T10</f>
        <v>0</v>
      </c>
      <c r="W10" s="321" t="str">
        <f>IFERROR(V10/ABS(T10), "-")</f>
        <v>-</v>
      </c>
      <c r="X10" s="322"/>
      <c r="AB10" s="571"/>
      <c r="AC10" s="571"/>
      <c r="AE10" s="571"/>
      <c r="AF10" s="571"/>
    </row>
    <row r="11" spans="1:34" ht="78.75" x14ac:dyDescent="0.2">
      <c r="A11" s="309">
        <v>9</v>
      </c>
      <c r="B11" s="314" t="s">
        <v>303</v>
      </c>
      <c r="C11" s="315"/>
      <c r="D11" s="315"/>
      <c r="E11" s="315"/>
      <c r="F11" s="315"/>
      <c r="G11" s="320">
        <f t="shared" si="1"/>
        <v>0</v>
      </c>
      <c r="H11" s="321" t="str">
        <f t="shared" si="2"/>
        <v>-</v>
      </c>
      <c r="I11" s="343"/>
      <c r="J11" s="315"/>
      <c r="K11" s="315"/>
      <c r="L11" s="320">
        <f t="shared" ref="L11:L19" si="14">K11-J11</f>
        <v>0</v>
      </c>
      <c r="M11" s="321" t="str">
        <f t="shared" ref="M11:M20" si="15">IFERROR(L11/ABS(J11), "-")</f>
        <v>-</v>
      </c>
      <c r="N11" s="322"/>
      <c r="O11" s="315"/>
      <c r="P11" s="315"/>
      <c r="Q11" s="320">
        <f t="shared" ref="Q11:Q19" si="16">P11-O11</f>
        <v>0</v>
      </c>
      <c r="R11" s="321" t="str">
        <f t="shared" ref="R11:R20" si="17">IFERROR(Q11/ABS(O11), "-")</f>
        <v>-</v>
      </c>
      <c r="S11" s="322"/>
      <c r="T11" s="315"/>
      <c r="U11" s="315"/>
      <c r="V11" s="320">
        <f t="shared" ref="V11:V19" si="18">U11-T11</f>
        <v>0</v>
      </c>
      <c r="W11" s="321" t="str">
        <f t="shared" ref="W11:W20" si="19">IFERROR(V11/ABS(T11), "-")</f>
        <v>-</v>
      </c>
      <c r="X11" s="322"/>
      <c r="AB11" s="571"/>
      <c r="AC11" s="571"/>
      <c r="AE11" s="571"/>
      <c r="AF11" s="571"/>
    </row>
    <row r="12" spans="1:34" ht="94.5" customHeight="1" x14ac:dyDescent="0.25">
      <c r="A12" s="309">
        <v>10</v>
      </c>
      <c r="B12" s="314" t="s">
        <v>304</v>
      </c>
      <c r="C12" s="315">
        <v>80</v>
      </c>
      <c r="D12" s="315">
        <v>88</v>
      </c>
      <c r="E12" s="315">
        <v>20</v>
      </c>
      <c r="F12" s="315">
        <v>26</v>
      </c>
      <c r="G12" s="320">
        <f t="shared" si="1"/>
        <v>6</v>
      </c>
      <c r="H12" s="321">
        <f t="shared" si="2"/>
        <v>0.3</v>
      </c>
      <c r="I12" s="438" t="s">
        <v>305</v>
      </c>
      <c r="J12" s="315">
        <v>40</v>
      </c>
      <c r="K12" s="315">
        <v>188</v>
      </c>
      <c r="L12" s="320">
        <f t="shared" si="14"/>
        <v>148</v>
      </c>
      <c r="M12" s="327">
        <f t="shared" si="15"/>
        <v>3.7</v>
      </c>
      <c r="N12" s="492" t="s">
        <v>306</v>
      </c>
      <c r="O12" s="315">
        <v>62</v>
      </c>
      <c r="P12" s="315">
        <v>840</v>
      </c>
      <c r="Q12" s="320">
        <f>P12-O12</f>
        <v>778</v>
      </c>
      <c r="R12" s="364">
        <f>IFERROR(Q12/ABS(O12), "-")</f>
        <v>12.548387096774194</v>
      </c>
      <c r="S12" s="492" t="s">
        <v>307</v>
      </c>
      <c r="T12" s="315">
        <v>88</v>
      </c>
      <c r="U12" s="315">
        <v>1628</v>
      </c>
      <c r="V12" s="320">
        <f>U12-T12</f>
        <v>1540</v>
      </c>
      <c r="W12" s="364">
        <f>IFERROR(V12/ABS(T12), "-")</f>
        <v>17.5</v>
      </c>
      <c r="X12" s="570" t="s">
        <v>308</v>
      </c>
      <c r="AB12" s="572"/>
      <c r="AC12" s="572"/>
      <c r="AD12" s="573"/>
      <c r="AE12" s="572"/>
      <c r="AF12" s="572"/>
    </row>
    <row r="13" spans="1:34" ht="63" x14ac:dyDescent="0.2">
      <c r="A13" s="309">
        <v>11</v>
      </c>
      <c r="B13" s="314" t="s">
        <v>309</v>
      </c>
      <c r="C13" s="315"/>
      <c r="D13" s="315"/>
      <c r="E13" s="315"/>
      <c r="F13" s="315"/>
      <c r="G13" s="320">
        <f t="shared" si="1"/>
        <v>0</v>
      </c>
      <c r="H13" s="321" t="str">
        <f t="shared" si="2"/>
        <v>-</v>
      </c>
      <c r="I13" s="343"/>
      <c r="J13" s="315"/>
      <c r="K13" s="315"/>
      <c r="L13" s="320">
        <f t="shared" si="14"/>
        <v>0</v>
      </c>
      <c r="M13" s="321" t="str">
        <f t="shared" si="15"/>
        <v>-</v>
      </c>
      <c r="N13" s="322"/>
      <c r="O13" s="315"/>
      <c r="P13" s="315"/>
      <c r="Q13" s="320">
        <f t="shared" si="16"/>
        <v>0</v>
      </c>
      <c r="R13" s="321" t="str">
        <f t="shared" si="17"/>
        <v>-</v>
      </c>
      <c r="S13" s="322"/>
      <c r="T13" s="315"/>
      <c r="U13" s="315"/>
      <c r="V13" s="320">
        <f t="shared" si="18"/>
        <v>0</v>
      </c>
      <c r="W13" s="321" t="str">
        <f t="shared" si="19"/>
        <v>-</v>
      </c>
      <c r="X13" s="322"/>
      <c r="AB13" s="572"/>
      <c r="AC13" s="573"/>
      <c r="AD13" s="573"/>
      <c r="AE13" s="572"/>
      <c r="AG13" s="572"/>
      <c r="AH13" s="574"/>
    </row>
    <row r="14" spans="1:34" ht="31.5" x14ac:dyDescent="0.2">
      <c r="A14" s="309">
        <v>12</v>
      </c>
      <c r="B14" s="314" t="s">
        <v>310</v>
      </c>
      <c r="C14" s="315"/>
      <c r="D14" s="315"/>
      <c r="E14" s="315"/>
      <c r="F14" s="315"/>
      <c r="G14" s="320">
        <f t="shared" si="1"/>
        <v>0</v>
      </c>
      <c r="H14" s="321" t="str">
        <f t="shared" si="2"/>
        <v>-</v>
      </c>
      <c r="I14" s="343"/>
      <c r="J14" s="315"/>
      <c r="K14" s="315"/>
      <c r="L14" s="320">
        <f t="shared" si="14"/>
        <v>0</v>
      </c>
      <c r="M14" s="321" t="str">
        <f t="shared" si="15"/>
        <v>-</v>
      </c>
      <c r="N14" s="322"/>
      <c r="O14" s="315"/>
      <c r="P14" s="315"/>
      <c r="Q14" s="320">
        <f t="shared" si="16"/>
        <v>0</v>
      </c>
      <c r="R14" s="321" t="str">
        <f t="shared" si="17"/>
        <v>-</v>
      </c>
      <c r="S14" s="322"/>
      <c r="T14" s="315"/>
      <c r="U14" s="315"/>
      <c r="V14" s="320">
        <f t="shared" si="18"/>
        <v>0</v>
      </c>
      <c r="W14" s="321" t="str">
        <f t="shared" si="19"/>
        <v>-</v>
      </c>
      <c r="X14" s="322"/>
    </row>
    <row r="15" spans="1:34" ht="153.75" customHeight="1" x14ac:dyDescent="0.25">
      <c r="A15" s="323">
        <v>13</v>
      </c>
      <c r="B15" s="324" t="s">
        <v>311</v>
      </c>
      <c r="C15" s="325">
        <f>C5-C6-C7+C8-C9+C10+C11+C12-C13-C14</f>
        <v>-800007</v>
      </c>
      <c r="D15" s="325">
        <f>D5-D6-D7+D8-D9+D10+D11+D12-D13-D14</f>
        <v>1070</v>
      </c>
      <c r="E15" s="362">
        <f>E5-E7+E8-E9+E12</f>
        <v>-758544</v>
      </c>
      <c r="F15" s="325">
        <f t="shared" ref="F15" si="20">F5-F6-F7+F8-F9+F10+F11+F12-F13-F14</f>
        <v>-514532</v>
      </c>
      <c r="G15" s="326">
        <f t="shared" si="1"/>
        <v>244012</v>
      </c>
      <c r="H15" s="327">
        <f t="shared" si="2"/>
        <v>0.32168470121706849</v>
      </c>
      <c r="I15" s="438" t="s">
        <v>312</v>
      </c>
      <c r="J15" s="362">
        <f>J5-J7+J8-J9+J12</f>
        <v>-1082949</v>
      </c>
      <c r="K15" s="325">
        <f t="shared" ref="K15" si="21">K5-K6-K7+K8-K9+K10+K11+K12-K13-K14</f>
        <v>-578388</v>
      </c>
      <c r="L15" s="326">
        <f>K15-J15</f>
        <v>504561</v>
      </c>
      <c r="M15" s="327">
        <f t="shared" si="15"/>
        <v>0.46591390730311399</v>
      </c>
      <c r="N15" s="493" t="s">
        <v>313</v>
      </c>
      <c r="O15" s="362">
        <f>O5-O7+O8-O9+O12</f>
        <v>-671898</v>
      </c>
      <c r="P15" s="362">
        <f t="shared" ref="P15" si="22">P5-P6-P7+P8-P9+P10+P11+P12-P13-P14</f>
        <v>-873067</v>
      </c>
      <c r="Q15" s="363">
        <f t="shared" si="16"/>
        <v>-201169</v>
      </c>
      <c r="R15" s="364">
        <f t="shared" si="17"/>
        <v>-0.29940407621394916</v>
      </c>
      <c r="S15" s="538" t="s">
        <v>314</v>
      </c>
      <c r="T15" s="325">
        <f>T5-T7+T8-T9+T12</f>
        <v>1070</v>
      </c>
      <c r="U15" s="325">
        <f>U5-U6-U7+U8-U9+U10+U11+U12-U13-U14</f>
        <v>-552929</v>
      </c>
      <c r="V15" s="363">
        <f t="shared" si="18"/>
        <v>-553999</v>
      </c>
      <c r="W15" s="364">
        <f t="shared" si="19"/>
        <v>-517.75607476635514</v>
      </c>
      <c r="X15" s="538" t="s">
        <v>315</v>
      </c>
    </row>
    <row r="16" spans="1:34" ht="47.25" x14ac:dyDescent="0.2">
      <c r="A16" s="309">
        <v>14</v>
      </c>
      <c r="B16" s="314" t="s">
        <v>316</v>
      </c>
      <c r="C16" s="315"/>
      <c r="D16" s="315"/>
      <c r="E16" s="315"/>
      <c r="F16" s="315"/>
      <c r="G16" s="320">
        <f t="shared" si="1"/>
        <v>0</v>
      </c>
      <c r="H16" s="321" t="str">
        <f>IFERROR(G16/ABS(E16), "-")</f>
        <v>-</v>
      </c>
      <c r="I16" s="343"/>
      <c r="J16" s="315"/>
      <c r="K16" s="315"/>
      <c r="L16" s="320">
        <f t="shared" si="14"/>
        <v>0</v>
      </c>
      <c r="M16" s="321" t="str">
        <f t="shared" si="15"/>
        <v>-</v>
      </c>
      <c r="N16" s="322"/>
      <c r="O16" s="315"/>
      <c r="P16" s="315"/>
      <c r="Q16" s="320">
        <f t="shared" si="16"/>
        <v>0</v>
      </c>
      <c r="R16" s="321" t="str">
        <f t="shared" si="17"/>
        <v>-</v>
      </c>
      <c r="S16" s="322"/>
      <c r="T16" s="315"/>
      <c r="U16" s="315"/>
      <c r="V16" s="320">
        <f t="shared" si="18"/>
        <v>0</v>
      </c>
      <c r="W16" s="321" t="str">
        <f t="shared" si="19"/>
        <v>-</v>
      </c>
      <c r="X16" s="322"/>
    </row>
    <row r="17" spans="1:24" ht="63" x14ac:dyDescent="0.25">
      <c r="A17" s="323">
        <v>15</v>
      </c>
      <c r="B17" s="324" t="s">
        <v>317</v>
      </c>
      <c r="C17" s="329">
        <f>C15-C16</f>
        <v>-800007</v>
      </c>
      <c r="D17" s="329">
        <f t="shared" ref="D17:Q17" si="23">D15-D16</f>
        <v>1070</v>
      </c>
      <c r="E17" s="366">
        <f t="shared" si="23"/>
        <v>-758544</v>
      </c>
      <c r="F17" s="329">
        <f t="shared" si="23"/>
        <v>-514532</v>
      </c>
      <c r="G17" s="329">
        <f t="shared" si="23"/>
        <v>244012</v>
      </c>
      <c r="H17" s="330">
        <f>IFERROR(G17/ABS(E17), "-")</f>
        <v>0.32168470121706849</v>
      </c>
      <c r="I17" s="367"/>
      <c r="J17" s="366">
        <f t="shared" si="23"/>
        <v>-1082949</v>
      </c>
      <c r="K17" s="329">
        <f t="shared" si="23"/>
        <v>-578388</v>
      </c>
      <c r="L17" s="329">
        <f>L15-L16</f>
        <v>504561</v>
      </c>
      <c r="M17" s="330">
        <f t="shared" si="15"/>
        <v>0.46591390730311399</v>
      </c>
      <c r="N17" s="494"/>
      <c r="O17" s="366">
        <f t="shared" ref="O17:P17" si="24">O15-O16</f>
        <v>-671898</v>
      </c>
      <c r="P17" s="366">
        <f t="shared" si="24"/>
        <v>-873067</v>
      </c>
      <c r="Q17" s="366">
        <f t="shared" si="23"/>
        <v>-201169</v>
      </c>
      <c r="R17" s="321">
        <f t="shared" si="17"/>
        <v>-0.29940407621394916</v>
      </c>
      <c r="S17" s="560"/>
      <c r="T17" s="329">
        <f>T15-T16</f>
        <v>1070</v>
      </c>
      <c r="U17" s="329">
        <f>U15-U16</f>
        <v>-552929</v>
      </c>
      <c r="V17" s="366">
        <f t="shared" ref="V17" si="25">V15-V16</f>
        <v>-553999</v>
      </c>
      <c r="W17" s="321">
        <f t="shared" si="19"/>
        <v>-517.75607476635514</v>
      </c>
      <c r="X17" s="331"/>
    </row>
    <row r="18" spans="1:24" ht="63" x14ac:dyDescent="0.2">
      <c r="A18" s="309">
        <v>16</v>
      </c>
      <c r="B18" s="314" t="s">
        <v>318</v>
      </c>
      <c r="C18" s="315"/>
      <c r="D18" s="315"/>
      <c r="E18" s="315"/>
      <c r="F18" s="315"/>
      <c r="G18" s="320">
        <f t="shared" si="1"/>
        <v>0</v>
      </c>
      <c r="H18" s="321" t="str">
        <f t="shared" si="2"/>
        <v>-</v>
      </c>
      <c r="I18" s="343"/>
      <c r="J18" s="315"/>
      <c r="K18" s="315"/>
      <c r="L18" s="320">
        <f t="shared" si="14"/>
        <v>0</v>
      </c>
      <c r="M18" s="321" t="str">
        <f t="shared" si="15"/>
        <v>-</v>
      </c>
      <c r="N18" s="322"/>
      <c r="O18" s="315"/>
      <c r="P18" s="315"/>
      <c r="Q18" s="320">
        <f t="shared" si="16"/>
        <v>0</v>
      </c>
      <c r="R18" s="321" t="str">
        <f t="shared" si="17"/>
        <v>-</v>
      </c>
      <c r="S18" s="322"/>
      <c r="T18" s="315"/>
      <c r="U18" s="315"/>
      <c r="V18" s="320">
        <f t="shared" si="18"/>
        <v>0</v>
      </c>
      <c r="W18" s="321" t="str">
        <f t="shared" si="19"/>
        <v>-</v>
      </c>
      <c r="X18" s="322"/>
    </row>
    <row r="19" spans="1:24" x14ac:dyDescent="0.2">
      <c r="A19" s="309">
        <v>17</v>
      </c>
      <c r="B19" s="314" t="s">
        <v>319</v>
      </c>
      <c r="C19" s="315"/>
      <c r="D19" s="315"/>
      <c r="E19" s="315"/>
      <c r="F19" s="315"/>
      <c r="G19" s="320">
        <f t="shared" si="1"/>
        <v>0</v>
      </c>
      <c r="H19" s="321" t="str">
        <f t="shared" si="2"/>
        <v>-</v>
      </c>
      <c r="I19" s="343"/>
      <c r="J19" s="315"/>
      <c r="K19" s="315"/>
      <c r="L19" s="320">
        <f t="shared" si="14"/>
        <v>0</v>
      </c>
      <c r="M19" s="321" t="str">
        <f t="shared" si="15"/>
        <v>-</v>
      </c>
      <c r="N19" s="322"/>
      <c r="O19" s="315"/>
      <c r="P19" s="315"/>
      <c r="Q19" s="320">
        <f t="shared" si="16"/>
        <v>0</v>
      </c>
      <c r="R19" s="321" t="str">
        <f t="shared" si="17"/>
        <v>-</v>
      </c>
      <c r="S19" s="322"/>
      <c r="T19" s="315"/>
      <c r="U19" s="315"/>
      <c r="V19" s="320">
        <f t="shared" si="18"/>
        <v>0</v>
      </c>
      <c r="W19" s="321" t="str">
        <f t="shared" si="19"/>
        <v>-</v>
      </c>
      <c r="X19" s="322"/>
    </row>
    <row r="20" spans="1:24" ht="31.5" x14ac:dyDescent="0.2">
      <c r="A20" s="323">
        <v>18</v>
      </c>
      <c r="B20" s="324" t="s">
        <v>320</v>
      </c>
      <c r="C20" s="325">
        <f>C17-C18-C19</f>
        <v>-800007</v>
      </c>
      <c r="D20" s="325">
        <v>1070</v>
      </c>
      <c r="E20" s="325">
        <v>-758544</v>
      </c>
      <c r="F20" s="325">
        <f t="shared" ref="F20:U20" si="26">F17-F18-F19</f>
        <v>-514532</v>
      </c>
      <c r="G20" s="325">
        <f t="shared" si="26"/>
        <v>244012</v>
      </c>
      <c r="H20" s="330">
        <f t="shared" si="2"/>
        <v>0.32168470121706849</v>
      </c>
      <c r="I20" s="576"/>
      <c r="J20" s="325">
        <v>-1082949</v>
      </c>
      <c r="K20" s="325">
        <f t="shared" si="26"/>
        <v>-578388</v>
      </c>
      <c r="L20" s="325">
        <f t="shared" si="26"/>
        <v>504561</v>
      </c>
      <c r="M20" s="330">
        <f t="shared" si="15"/>
        <v>0.46591390730311399</v>
      </c>
      <c r="N20" s="577"/>
      <c r="O20" s="325">
        <v>-671898</v>
      </c>
      <c r="P20" s="325">
        <f t="shared" ref="P20" si="27">P17-P18-P19</f>
        <v>-873067</v>
      </c>
      <c r="Q20" s="325">
        <f t="shared" si="26"/>
        <v>-201169</v>
      </c>
      <c r="R20" s="330">
        <f t="shared" si="17"/>
        <v>-0.29940407621394916</v>
      </c>
      <c r="S20" s="325">
        <f t="shared" ref="S20" si="28">S17-S18-S19</f>
        <v>0</v>
      </c>
      <c r="T20" s="325">
        <v>1070</v>
      </c>
      <c r="U20" s="325">
        <f t="shared" si="26"/>
        <v>-552929</v>
      </c>
      <c r="V20" s="325">
        <f t="shared" ref="V20" si="29">V17-V18-V19</f>
        <v>-553999</v>
      </c>
      <c r="W20" s="330">
        <f t="shared" si="19"/>
        <v>-517.75607476635514</v>
      </c>
      <c r="X20" s="328"/>
    </row>
    <row r="21" spans="1:24" ht="47.25" x14ac:dyDescent="0.2">
      <c r="A21" s="332">
        <v>19</v>
      </c>
      <c r="B21" s="333" t="s">
        <v>321</v>
      </c>
      <c r="C21" s="334"/>
      <c r="D21" s="334"/>
      <c r="E21" s="362"/>
      <c r="F21" s="334"/>
      <c r="G21" s="335"/>
      <c r="H21" s="336"/>
      <c r="I21" s="342"/>
      <c r="J21" s="362"/>
      <c r="K21" s="334"/>
      <c r="L21" s="335"/>
      <c r="M21" s="336"/>
      <c r="N21" s="495"/>
      <c r="O21" s="362"/>
      <c r="P21" s="362"/>
      <c r="Q21" s="363"/>
      <c r="R21" s="364"/>
      <c r="S21" s="365"/>
      <c r="T21" s="362"/>
      <c r="U21" s="334"/>
      <c r="V21" s="363"/>
      <c r="W21" s="364"/>
      <c r="X21" s="337"/>
    </row>
    <row r="22" spans="1:24" ht="18.75" x14ac:dyDescent="0.2">
      <c r="A22" s="18"/>
      <c r="B22" s="19"/>
      <c r="C22" s="20"/>
      <c r="D22" s="20"/>
      <c r="E22" s="368"/>
      <c r="F22" s="368"/>
      <c r="G22" s="369"/>
      <c r="H22" s="370"/>
      <c r="I22" s="371"/>
      <c r="J22" s="368"/>
      <c r="K22" s="368"/>
      <c r="L22" s="369"/>
      <c r="M22" s="370"/>
      <c r="N22" s="372"/>
      <c r="O22" s="368"/>
      <c r="P22" s="368"/>
      <c r="Q22" s="369"/>
      <c r="R22" s="370"/>
      <c r="S22" s="372"/>
      <c r="T22" s="368"/>
      <c r="U22" s="20"/>
      <c r="V22" s="369"/>
      <c r="W22" s="370"/>
      <c r="X22" s="21"/>
    </row>
    <row r="23" spans="1:24" ht="18.75" x14ac:dyDescent="0.2">
      <c r="A23" s="18"/>
      <c r="B23" s="19"/>
      <c r="C23" s="20"/>
      <c r="D23" s="20"/>
      <c r="E23" s="368"/>
      <c r="F23" s="368"/>
      <c r="G23" s="369"/>
      <c r="H23" s="370"/>
      <c r="I23" s="371"/>
      <c r="J23" s="368"/>
      <c r="K23" s="368"/>
      <c r="L23" s="369"/>
      <c r="M23" s="370"/>
      <c r="N23" s="372"/>
      <c r="O23" s="368"/>
      <c r="P23" s="368"/>
      <c r="Q23" s="369"/>
      <c r="R23" s="370"/>
      <c r="S23" s="372"/>
      <c r="T23" s="368"/>
      <c r="U23" s="20"/>
      <c r="V23" s="369"/>
      <c r="W23" s="370"/>
      <c r="X23" s="21"/>
    </row>
    <row r="24" spans="1:24" ht="18.75" customHeight="1" x14ac:dyDescent="0.25">
      <c r="A24" s="741" t="s">
        <v>271</v>
      </c>
      <c r="B24" s="741"/>
      <c r="C24" s="338"/>
      <c r="D24" s="373"/>
      <c r="E24" s="374"/>
      <c r="F24" s="375"/>
      <c r="G24" s="375"/>
      <c r="H24" s="376"/>
      <c r="I24" s="377"/>
      <c r="J24" s="378"/>
      <c r="K24" s="379"/>
      <c r="L24" s="379"/>
      <c r="M24" s="379"/>
      <c r="N24" s="379"/>
      <c r="O24" s="380"/>
      <c r="P24" s="379"/>
      <c r="Q24" s="379"/>
      <c r="R24" s="379"/>
      <c r="S24" s="379"/>
      <c r="T24" s="381"/>
      <c r="U24" s="6"/>
      <c r="V24" s="379"/>
      <c r="W24" s="379"/>
      <c r="X24" s="6"/>
    </row>
    <row r="25" spans="1:24" ht="111.75" customHeight="1" x14ac:dyDescent="0.2">
      <c r="A25" s="742" t="s">
        <v>322</v>
      </c>
      <c r="B25" s="742"/>
      <c r="C25" s="742"/>
      <c r="D25" s="742"/>
      <c r="E25" s="742"/>
      <c r="F25" s="339"/>
      <c r="G25" s="339"/>
      <c r="I25" s="345"/>
      <c r="J25" s="382"/>
      <c r="O25" s="383"/>
      <c r="P25" s="384"/>
      <c r="Q25" s="384"/>
      <c r="R25" s="384"/>
      <c r="S25" s="384"/>
      <c r="T25" s="383"/>
      <c r="V25" s="384"/>
      <c r="W25" s="384"/>
    </row>
    <row r="26" spans="1:24" ht="44.25" customHeight="1" x14ac:dyDescent="0.2">
      <c r="A26" s="740" t="s">
        <v>323</v>
      </c>
      <c r="B26" s="740"/>
      <c r="C26" s="740"/>
      <c r="D26" s="740"/>
      <c r="E26" s="740"/>
      <c r="F26" s="740"/>
      <c r="G26" s="740"/>
      <c r="H26" s="6"/>
      <c r="I26" s="344"/>
      <c r="J26" s="6"/>
      <c r="K26" s="6"/>
      <c r="L26" s="6"/>
      <c r="M26" s="6"/>
      <c r="N26" s="6"/>
      <c r="O26" s="6"/>
      <c r="P26" s="6"/>
      <c r="Q26" s="6"/>
      <c r="R26" s="6"/>
      <c r="S26" s="6"/>
      <c r="T26" s="6"/>
      <c r="U26" s="6"/>
      <c r="V26" s="6"/>
      <c r="W26" s="6"/>
      <c r="X26" s="6"/>
    </row>
    <row r="27" spans="1:24" x14ac:dyDescent="0.2">
      <c r="A27" s="6"/>
      <c r="B27" s="6"/>
      <c r="C27" s="6"/>
      <c r="D27" s="6"/>
      <c r="E27" s="6"/>
      <c r="F27" s="6"/>
      <c r="G27" s="6"/>
      <c r="H27" s="6"/>
      <c r="I27" s="346"/>
      <c r="J27" s="6"/>
      <c r="K27" s="6"/>
      <c r="L27" s="6"/>
      <c r="M27" s="6"/>
      <c r="N27" s="6"/>
      <c r="O27" s="6"/>
      <c r="P27" s="6"/>
      <c r="Q27" s="6"/>
      <c r="R27" s="6"/>
      <c r="S27" s="6"/>
      <c r="T27" s="6"/>
      <c r="U27" s="6"/>
      <c r="V27" s="6"/>
      <c r="W27" s="6"/>
      <c r="X27" s="6"/>
    </row>
    <row r="28" spans="1:24" x14ac:dyDescent="0.2">
      <c r="A28" s="6"/>
      <c r="B28" s="6"/>
      <c r="C28" s="6"/>
      <c r="D28" s="6"/>
      <c r="E28" s="6"/>
      <c r="F28" s="6"/>
      <c r="G28" s="6"/>
      <c r="H28" s="6"/>
      <c r="I28" s="346"/>
      <c r="J28" s="6"/>
      <c r="K28" s="6"/>
      <c r="L28" s="6"/>
      <c r="M28" s="6"/>
      <c r="N28" s="6"/>
      <c r="O28" s="6"/>
      <c r="P28" s="6"/>
      <c r="Q28" s="6"/>
      <c r="R28" s="6"/>
      <c r="S28" s="6"/>
      <c r="T28" s="6"/>
      <c r="U28" s="6"/>
      <c r="V28" s="6"/>
      <c r="W28" s="6"/>
      <c r="X28" s="6"/>
    </row>
    <row r="29" spans="1:24" ht="18.75" x14ac:dyDescent="0.2">
      <c r="A29" s="9"/>
      <c r="B29" s="8"/>
      <c r="C29" s="7"/>
      <c r="D29" s="7"/>
      <c r="E29" s="7"/>
      <c r="F29" s="7"/>
      <c r="G29" s="7"/>
      <c r="H29" s="7"/>
      <c r="I29" s="347"/>
      <c r="J29" s="7"/>
      <c r="K29" s="7"/>
      <c r="L29" s="7"/>
      <c r="M29" s="7"/>
      <c r="N29" s="7"/>
      <c r="O29" s="7"/>
      <c r="P29" s="7"/>
      <c r="Q29" s="7"/>
      <c r="R29" s="7"/>
      <c r="S29" s="7"/>
      <c r="T29" s="7"/>
      <c r="U29" s="7"/>
      <c r="V29" s="7"/>
      <c r="W29" s="7"/>
      <c r="X29" s="7"/>
    </row>
    <row r="30" spans="1:24" ht="18.75" x14ac:dyDescent="0.2">
      <c r="A30" s="9"/>
      <c r="B30" s="8"/>
      <c r="C30" s="7"/>
      <c r="D30" s="7"/>
      <c r="E30" s="7"/>
      <c r="F30" s="7"/>
      <c r="G30" s="7"/>
      <c r="H30" s="7"/>
      <c r="I30" s="347"/>
      <c r="J30" s="7"/>
      <c r="K30" s="7"/>
      <c r="L30" s="7"/>
      <c r="M30" s="7"/>
      <c r="N30" s="7"/>
      <c r="O30" s="7"/>
      <c r="P30" s="7"/>
      <c r="Q30" s="7"/>
      <c r="R30" s="7"/>
      <c r="S30" s="7"/>
      <c r="T30" s="7"/>
      <c r="U30" s="7"/>
      <c r="V30" s="7"/>
      <c r="W30" s="7"/>
      <c r="X30" s="7"/>
    </row>
    <row r="31" spans="1:24" ht="18.75" x14ac:dyDescent="0.2">
      <c r="A31" s="9"/>
      <c r="B31" s="8"/>
      <c r="C31" s="7"/>
      <c r="D31" s="7"/>
      <c r="E31" s="7"/>
      <c r="F31" s="7"/>
      <c r="G31" s="7"/>
      <c r="H31" s="7"/>
      <c r="I31" s="347"/>
      <c r="J31" s="7"/>
      <c r="K31" s="7"/>
      <c r="L31" s="7"/>
      <c r="M31" s="7"/>
      <c r="N31" s="7"/>
      <c r="O31" s="7"/>
      <c r="P31" s="7"/>
      <c r="Q31" s="7"/>
      <c r="R31" s="7"/>
      <c r="S31" s="7"/>
      <c r="T31" s="7"/>
      <c r="U31" s="7"/>
      <c r="V31" s="7"/>
      <c r="W31" s="7"/>
      <c r="X31" s="7"/>
    </row>
    <row r="32" spans="1:24" ht="18.75" x14ac:dyDescent="0.2">
      <c r="A32" s="9"/>
      <c r="B32" s="8"/>
      <c r="C32" s="7"/>
      <c r="D32" s="7"/>
      <c r="E32" s="7"/>
      <c r="F32" s="7"/>
      <c r="G32" s="7"/>
      <c r="H32" s="7"/>
      <c r="I32" s="347"/>
      <c r="J32" s="7"/>
      <c r="K32" s="7"/>
      <c r="L32" s="7"/>
      <c r="M32" s="7"/>
      <c r="N32" s="7"/>
      <c r="O32" s="7"/>
      <c r="P32" s="7"/>
      <c r="Q32" s="7"/>
      <c r="R32" s="7"/>
      <c r="S32" s="7"/>
      <c r="T32" s="7"/>
      <c r="U32" s="7"/>
      <c r="V32" s="7"/>
      <c r="W32" s="7"/>
      <c r="X32" s="7"/>
    </row>
    <row r="33" spans="1:24" ht="18.75" x14ac:dyDescent="0.2">
      <c r="A33" s="9"/>
      <c r="B33" s="8"/>
      <c r="C33" s="7"/>
      <c r="D33" s="7"/>
      <c r="E33" s="7"/>
      <c r="F33" s="7"/>
      <c r="G33" s="7"/>
      <c r="H33" s="7"/>
      <c r="I33" s="347"/>
      <c r="J33" s="7"/>
      <c r="K33" s="7"/>
      <c r="L33" s="7"/>
      <c r="M33" s="7"/>
      <c r="N33" s="7"/>
      <c r="O33" s="7"/>
      <c r="P33" s="7"/>
      <c r="Q33" s="7"/>
      <c r="R33" s="7"/>
      <c r="S33" s="7"/>
      <c r="T33" s="7"/>
      <c r="U33" s="7"/>
      <c r="V33" s="7"/>
      <c r="W33" s="7"/>
      <c r="X33" s="7"/>
    </row>
    <row r="34" spans="1:24" ht="18.75" x14ac:dyDescent="0.2">
      <c r="A34" s="9"/>
      <c r="B34" s="8"/>
      <c r="C34" s="7"/>
      <c r="D34" s="7"/>
      <c r="E34" s="7"/>
      <c r="F34" s="7"/>
      <c r="G34" s="7"/>
      <c r="H34" s="7"/>
      <c r="I34" s="347"/>
      <c r="J34" s="7"/>
      <c r="K34" s="7"/>
      <c r="L34" s="7"/>
      <c r="M34" s="7"/>
      <c r="N34" s="7"/>
      <c r="O34" s="7"/>
      <c r="P34" s="7"/>
      <c r="Q34" s="7"/>
      <c r="R34" s="7"/>
      <c r="S34" s="7"/>
      <c r="T34" s="7"/>
      <c r="U34" s="7"/>
      <c r="V34" s="7"/>
      <c r="W34" s="7"/>
      <c r="X34" s="7"/>
    </row>
  </sheetData>
  <sheetProtection formatColumns="0" formatRows="0"/>
  <mergeCells count="3">
    <mergeCell ref="A26:G26"/>
    <mergeCell ref="A24:B24"/>
    <mergeCell ref="A25:E25"/>
  </mergeCells>
  <pageMargins left="0.23622047244094491" right="0.23622047244094491" top="0.74803149606299213" bottom="0.74803149606299213" header="0.31496062992125984" footer="0.31496062992125984"/>
  <pageSetup paperSize="9" scale="99" fitToHeight="0" orientation="landscape" verticalDpi="90" r:id="rId1"/>
  <headerFooter>
    <oddHeader>&amp;C&amp;"Times New Roman,Bold"&amp;14Peļņas vai zaudējumu aprēķins&amp;R&amp;"Times New Roman,Regular"&amp;14 2.pielikums</oddHeader>
    <oddFooter>&amp;C&amp;"Times New Roman,Regular"&amp;12&amp;F&amp;R&amp;"Times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pageSetUpPr fitToPage="1"/>
  </sheetPr>
  <dimension ref="A1:AB94"/>
  <sheetViews>
    <sheetView view="pageBreakPreview" zoomScale="80" zoomScaleNormal="85" zoomScaleSheetLayoutView="80" workbookViewId="0">
      <pane ySplit="1" topLeftCell="A78" activePane="bottomLeft" state="frozen"/>
      <selection pane="bottomLeft" activeCell="U78" sqref="U78"/>
    </sheetView>
  </sheetViews>
  <sheetFormatPr defaultColWidth="9.140625" defaultRowHeight="15.75" outlineLevelCol="1" x14ac:dyDescent="0.2"/>
  <cols>
    <col min="1" max="1" width="10.42578125" style="580" customWidth="1"/>
    <col min="2" max="2" width="45.7109375" style="580" customWidth="1"/>
    <col min="3" max="3" width="16.28515625" style="502" customWidth="1"/>
    <col min="4" max="5" width="16.28515625" style="502" hidden="1" customWidth="1"/>
    <col min="6" max="6" width="16.28515625" style="502" hidden="1" customWidth="1" outlineLevel="1"/>
    <col min="7" max="8" width="16.28515625" style="666" hidden="1" customWidth="1" outlineLevel="1"/>
    <col min="9" max="9" width="16.28515625" style="502" hidden="1" customWidth="1" outlineLevel="1"/>
    <col min="10" max="10" width="16.28515625" style="502" hidden="1" customWidth="1" collapsed="1"/>
    <col min="11" max="11" width="16.28515625" style="502" hidden="1" customWidth="1" outlineLevel="1"/>
    <col min="12" max="13" width="16.28515625" style="666" hidden="1" customWidth="1" outlineLevel="1"/>
    <col min="14" max="14" width="16.28515625" style="502" hidden="1" customWidth="1" outlineLevel="1"/>
    <col min="15" max="15" width="16.28515625" style="502" hidden="1" customWidth="1" collapsed="1"/>
    <col min="16" max="16" width="16.28515625" style="502" hidden="1" customWidth="1" outlineLevel="1"/>
    <col min="17" max="18" width="16.28515625" style="666" hidden="1" customWidth="1" outlineLevel="1"/>
    <col min="19" max="19" width="16.28515625" style="502" hidden="1" customWidth="1" outlineLevel="1"/>
    <col min="20" max="20" width="16.28515625" style="502" customWidth="1" collapsed="1"/>
    <col min="21" max="21" width="16.28515625" style="502" customWidth="1" outlineLevel="1"/>
    <col min="22" max="23" width="16.28515625" style="666" hidden="1" customWidth="1" outlineLevel="1"/>
    <col min="24" max="24" width="31.28515625" style="502" customWidth="1" outlineLevel="1"/>
    <col min="25" max="25" width="9.140625" style="502" customWidth="1"/>
    <col min="26" max="16384" width="9.140625" style="502"/>
  </cols>
  <sheetData>
    <row r="1" spans="1:28" s="580" customFormat="1" ht="89.25" customHeight="1" x14ac:dyDescent="0.2">
      <c r="A1" s="588" t="s">
        <v>0</v>
      </c>
      <c r="B1" s="589" t="s">
        <v>324</v>
      </c>
      <c r="C1" s="455" t="s">
        <v>2</v>
      </c>
      <c r="D1" s="455" t="s">
        <v>3</v>
      </c>
      <c r="E1" s="455" t="s">
        <v>4</v>
      </c>
      <c r="F1" s="455" t="s">
        <v>5</v>
      </c>
      <c r="G1" s="590" t="s">
        <v>6</v>
      </c>
      <c r="H1" s="591" t="s">
        <v>7</v>
      </c>
      <c r="I1" s="455" t="s">
        <v>325</v>
      </c>
      <c r="J1" s="455" t="s">
        <v>9</v>
      </c>
      <c r="K1" s="455" t="s">
        <v>10</v>
      </c>
      <c r="L1" s="590" t="s">
        <v>6</v>
      </c>
      <c r="M1" s="591" t="s">
        <v>7</v>
      </c>
      <c r="N1" s="455" t="s">
        <v>325</v>
      </c>
      <c r="O1" s="455" t="s">
        <v>280</v>
      </c>
      <c r="P1" s="455" t="s">
        <v>281</v>
      </c>
      <c r="Q1" s="590" t="s">
        <v>6</v>
      </c>
      <c r="R1" s="591" t="s">
        <v>7</v>
      </c>
      <c r="S1" s="455" t="s">
        <v>325</v>
      </c>
      <c r="T1" s="455" t="s">
        <v>11</v>
      </c>
      <c r="U1" s="455" t="s">
        <v>282</v>
      </c>
      <c r="V1" s="590" t="s">
        <v>6</v>
      </c>
      <c r="W1" s="591" t="s">
        <v>7</v>
      </c>
      <c r="X1" s="455" t="s">
        <v>325</v>
      </c>
    </row>
    <row r="2" spans="1:28" s="580" customFormat="1" ht="12" customHeight="1" x14ac:dyDescent="0.2">
      <c r="A2" s="592">
        <v>1</v>
      </c>
      <c r="B2" s="455">
        <v>2</v>
      </c>
      <c r="C2" s="455">
        <v>3</v>
      </c>
      <c r="D2" s="455">
        <v>4</v>
      </c>
      <c r="E2" s="455">
        <v>5</v>
      </c>
      <c r="F2" s="455">
        <v>6</v>
      </c>
      <c r="G2" s="590">
        <v>7</v>
      </c>
      <c r="H2" s="593">
        <v>8</v>
      </c>
      <c r="I2" s="455">
        <v>9</v>
      </c>
      <c r="J2" s="455">
        <v>10</v>
      </c>
      <c r="K2" s="455">
        <v>11</v>
      </c>
      <c r="L2" s="590">
        <v>12</v>
      </c>
      <c r="M2" s="593">
        <v>13</v>
      </c>
      <c r="N2" s="455">
        <v>14</v>
      </c>
      <c r="O2" s="455">
        <v>15</v>
      </c>
      <c r="P2" s="455">
        <v>16</v>
      </c>
      <c r="Q2" s="590">
        <v>17</v>
      </c>
      <c r="R2" s="593">
        <v>18</v>
      </c>
      <c r="S2" s="455">
        <v>19</v>
      </c>
      <c r="T2" s="455">
        <v>20</v>
      </c>
      <c r="U2" s="455">
        <v>21</v>
      </c>
      <c r="V2" s="590">
        <v>22</v>
      </c>
      <c r="W2" s="593">
        <v>23</v>
      </c>
      <c r="X2" s="455">
        <v>24</v>
      </c>
    </row>
    <row r="3" spans="1:28" s="580" customFormat="1" x14ac:dyDescent="0.2">
      <c r="A3" s="581">
        <v>1000</v>
      </c>
      <c r="B3" s="582" t="s">
        <v>326</v>
      </c>
      <c r="C3" s="448">
        <f>C4+C11</f>
        <v>12710924</v>
      </c>
      <c r="D3" s="448">
        <f>D4+D11</f>
        <v>12582796</v>
      </c>
      <c r="E3" s="448">
        <f>E4+E11+E21</f>
        <v>12382403</v>
      </c>
      <c r="F3" s="448">
        <f t="shared" ref="F3" si="0">F4+F11</f>
        <v>12714065</v>
      </c>
      <c r="G3" s="583">
        <f t="shared" ref="G3:G20" si="1">F3-E3</f>
        <v>331662</v>
      </c>
      <c r="H3" s="584">
        <f t="shared" ref="H3:H47" si="2">IFERROR(G3/ABS(E3), "-")</f>
        <v>2.6784946346843985E-2</v>
      </c>
      <c r="I3" s="585"/>
      <c r="J3" s="448">
        <f>J4+J11+J21</f>
        <v>12244482</v>
      </c>
      <c r="K3" s="448">
        <f>K4+K11+K21</f>
        <v>12599427</v>
      </c>
      <c r="L3" s="583">
        <f t="shared" ref="L3:L20" si="3">K3-J3</f>
        <v>354945</v>
      </c>
      <c r="M3" s="584">
        <f t="shared" ref="M3:M47" si="4">IFERROR(L3/ABS(J3), "-")</f>
        <v>2.8988159727785952E-2</v>
      </c>
      <c r="N3" s="586"/>
      <c r="O3" s="448">
        <f>O4+O11+O21</f>
        <v>12241976</v>
      </c>
      <c r="P3" s="448">
        <f>P4+P11+P21</f>
        <v>12452075</v>
      </c>
      <c r="Q3" s="583">
        <f t="shared" ref="Q3:Q20" si="5">P3-O3</f>
        <v>210099</v>
      </c>
      <c r="R3" s="584">
        <f t="shared" ref="R3:R43" si="6">IFERROR(Q3/ABS(O3), "-")</f>
        <v>1.7162180353890583E-2</v>
      </c>
      <c r="S3" s="585"/>
      <c r="T3" s="448">
        <f>T4+T11+T21</f>
        <v>12582796</v>
      </c>
      <c r="U3" s="448">
        <f>U4+U11+U21</f>
        <v>14094863</v>
      </c>
      <c r="V3" s="583">
        <f t="shared" ref="V3:V47" si="7">U3-T3</f>
        <v>1512067</v>
      </c>
      <c r="W3" s="584">
        <f t="shared" ref="W3:W47" si="8">IFERROR(V3/ABS(T3), "-")</f>
        <v>0.1201693963726345</v>
      </c>
      <c r="X3" s="585"/>
    </row>
    <row r="4" spans="1:28" s="580" customFormat="1" ht="15.75" customHeight="1" x14ac:dyDescent="0.2">
      <c r="A4" s="594">
        <v>1100</v>
      </c>
      <c r="B4" s="595" t="s">
        <v>327</v>
      </c>
      <c r="C4" s="447">
        <f>C5+C6+C7+C8+C9+C10</f>
        <v>78797</v>
      </c>
      <c r="D4" s="447">
        <f>D5+D6+D7+D8+D9+D10</f>
        <v>58800</v>
      </c>
      <c r="E4" s="447">
        <f t="shared" ref="E4" si="9">E5+E6+E7+E8+E9</f>
        <v>72853</v>
      </c>
      <c r="F4" s="447">
        <f>F5+F6+F7+F8+F9</f>
        <v>70988</v>
      </c>
      <c r="G4" s="596">
        <f t="shared" si="1"/>
        <v>-1865</v>
      </c>
      <c r="H4" s="597">
        <f t="shared" si="2"/>
        <v>-2.5599494873237889E-2</v>
      </c>
      <c r="I4" s="762"/>
      <c r="J4" s="447">
        <f t="shared" ref="J4" si="10">J5+J6+J7+J8+J9</f>
        <v>66909</v>
      </c>
      <c r="K4" s="447">
        <f>K5+K6+K7+K8+K9</f>
        <v>63180</v>
      </c>
      <c r="L4" s="596">
        <f t="shared" si="3"/>
        <v>-3729</v>
      </c>
      <c r="M4" s="597">
        <f t="shared" si="4"/>
        <v>-5.5732412679908534E-2</v>
      </c>
      <c r="N4" s="765"/>
      <c r="O4" s="447">
        <f t="shared" ref="O4" si="11">O5+O6+O7+O8+O9</f>
        <v>60909</v>
      </c>
      <c r="P4" s="447">
        <f>P5+P6+P7+P8+P9</f>
        <v>55401</v>
      </c>
      <c r="Q4" s="596">
        <f>P4-O4</f>
        <v>-5508</v>
      </c>
      <c r="R4" s="597">
        <f t="shared" si="6"/>
        <v>-9.0429985716396585E-2</v>
      </c>
      <c r="S4" s="758"/>
      <c r="T4" s="447">
        <f t="shared" ref="T4" si="12">T5+T6+T7+T8+T9</f>
        <v>58800</v>
      </c>
      <c r="U4" s="447">
        <f>U5+U6+U7+U8+U9</f>
        <v>359336</v>
      </c>
      <c r="V4" s="596">
        <f t="shared" si="7"/>
        <v>300536</v>
      </c>
      <c r="W4" s="597">
        <f t="shared" si="8"/>
        <v>5.1111564625850336</v>
      </c>
      <c r="X4" s="760" t="s">
        <v>328</v>
      </c>
    </row>
    <row r="5" spans="1:28" x14ac:dyDescent="0.2">
      <c r="A5" s="598">
        <v>1110</v>
      </c>
      <c r="B5" s="599" t="s">
        <v>329</v>
      </c>
      <c r="C5" s="499"/>
      <c r="D5" s="499"/>
      <c r="E5" s="499"/>
      <c r="F5" s="499"/>
      <c r="G5" s="600">
        <f t="shared" si="1"/>
        <v>0</v>
      </c>
      <c r="H5" s="601" t="str">
        <f t="shared" si="2"/>
        <v>-</v>
      </c>
      <c r="I5" s="763"/>
      <c r="J5" s="499"/>
      <c r="K5" s="501"/>
      <c r="L5" s="600">
        <f t="shared" si="3"/>
        <v>0</v>
      </c>
      <c r="M5" s="601" t="str">
        <f t="shared" si="4"/>
        <v>-</v>
      </c>
      <c r="N5" s="766"/>
      <c r="O5" s="499"/>
      <c r="P5" s="499"/>
      <c r="Q5" s="600">
        <f t="shared" si="5"/>
        <v>0</v>
      </c>
      <c r="R5" s="601" t="str">
        <f t="shared" si="6"/>
        <v>-</v>
      </c>
      <c r="S5" s="759"/>
      <c r="T5" s="499"/>
      <c r="U5" s="499"/>
      <c r="V5" s="600">
        <f t="shared" si="7"/>
        <v>0</v>
      </c>
      <c r="W5" s="601" t="str">
        <f t="shared" si="8"/>
        <v>-</v>
      </c>
      <c r="X5" s="761"/>
    </row>
    <row r="6" spans="1:28" ht="31.5" x14ac:dyDescent="0.2">
      <c r="A6" s="598">
        <v>1120</v>
      </c>
      <c r="B6" s="599" t="s">
        <v>330</v>
      </c>
      <c r="C6" s="499">
        <v>78797</v>
      </c>
      <c r="D6" s="499">
        <v>58800</v>
      </c>
      <c r="E6" s="499">
        <f>C6-5944</f>
        <v>72853</v>
      </c>
      <c r="F6" s="499">
        <v>70988</v>
      </c>
      <c r="G6" s="600">
        <f t="shared" si="1"/>
        <v>-1865</v>
      </c>
      <c r="H6" s="601">
        <f t="shared" si="2"/>
        <v>-2.5599494873237889E-2</v>
      </c>
      <c r="I6" s="763"/>
      <c r="J6" s="499">
        <f>E6-5944</f>
        <v>66909</v>
      </c>
      <c r="K6" s="501">
        <v>63180</v>
      </c>
      <c r="L6" s="600">
        <f t="shared" si="3"/>
        <v>-3729</v>
      </c>
      <c r="M6" s="601">
        <f t="shared" si="4"/>
        <v>-5.5732412679908534E-2</v>
      </c>
      <c r="N6" s="766"/>
      <c r="O6" s="499">
        <f>J6-6000</f>
        <v>60909</v>
      </c>
      <c r="P6" s="499">
        <v>55401</v>
      </c>
      <c r="Q6" s="600">
        <f t="shared" si="5"/>
        <v>-5508</v>
      </c>
      <c r="R6" s="601">
        <f t="shared" si="6"/>
        <v>-9.0429985716396585E-2</v>
      </c>
      <c r="S6" s="759"/>
      <c r="T6" s="499">
        <f>D6</f>
        <v>58800</v>
      </c>
      <c r="U6" s="499">
        <v>359336</v>
      </c>
      <c r="V6" s="600">
        <f t="shared" si="7"/>
        <v>300536</v>
      </c>
      <c r="W6" s="601">
        <f t="shared" si="8"/>
        <v>5.1111564625850336</v>
      </c>
      <c r="X6" s="761"/>
    </row>
    <row r="7" spans="1:28" x14ac:dyDescent="0.2">
      <c r="A7" s="598">
        <v>1130</v>
      </c>
      <c r="B7" s="599" t="s">
        <v>331</v>
      </c>
      <c r="C7" s="499"/>
      <c r="D7" s="499"/>
      <c r="E7" s="499"/>
      <c r="F7" s="499"/>
      <c r="G7" s="600">
        <f t="shared" si="1"/>
        <v>0</v>
      </c>
      <c r="H7" s="601" t="str">
        <f t="shared" si="2"/>
        <v>-</v>
      </c>
      <c r="I7" s="763"/>
      <c r="J7" s="499"/>
      <c r="K7" s="501"/>
      <c r="L7" s="600">
        <f t="shared" si="3"/>
        <v>0</v>
      </c>
      <c r="M7" s="601" t="str">
        <f t="shared" si="4"/>
        <v>-</v>
      </c>
      <c r="N7" s="766"/>
      <c r="O7" s="499"/>
      <c r="P7" s="499"/>
      <c r="Q7" s="600">
        <f t="shared" si="5"/>
        <v>0</v>
      </c>
      <c r="R7" s="601" t="str">
        <f t="shared" si="6"/>
        <v>-</v>
      </c>
      <c r="S7" s="759"/>
      <c r="T7" s="499"/>
      <c r="U7" s="499"/>
      <c r="V7" s="600">
        <f t="shared" si="7"/>
        <v>0</v>
      </c>
      <c r="W7" s="601" t="str">
        <f t="shared" si="8"/>
        <v>-</v>
      </c>
      <c r="X7" s="761"/>
    </row>
    <row r="8" spans="1:28" x14ac:dyDescent="0.2">
      <c r="A8" s="598">
        <v>1140</v>
      </c>
      <c r="B8" s="599" t="s">
        <v>332</v>
      </c>
      <c r="C8" s="499"/>
      <c r="D8" s="499"/>
      <c r="E8" s="499"/>
      <c r="F8" s="499"/>
      <c r="G8" s="600">
        <f t="shared" si="1"/>
        <v>0</v>
      </c>
      <c r="H8" s="601" t="str">
        <f t="shared" si="2"/>
        <v>-</v>
      </c>
      <c r="I8" s="763"/>
      <c r="J8" s="499"/>
      <c r="K8" s="501"/>
      <c r="L8" s="600">
        <f t="shared" si="3"/>
        <v>0</v>
      </c>
      <c r="M8" s="601" t="str">
        <f t="shared" si="4"/>
        <v>-</v>
      </c>
      <c r="N8" s="766"/>
      <c r="O8" s="499"/>
      <c r="P8" s="499"/>
      <c r="Q8" s="600">
        <f t="shared" si="5"/>
        <v>0</v>
      </c>
      <c r="R8" s="601" t="str">
        <f t="shared" si="6"/>
        <v>-</v>
      </c>
      <c r="S8" s="759"/>
      <c r="T8" s="499"/>
      <c r="U8" s="499"/>
      <c r="V8" s="600">
        <f t="shared" si="7"/>
        <v>0</v>
      </c>
      <c r="W8" s="601" t="str">
        <f t="shared" si="8"/>
        <v>-</v>
      </c>
      <c r="X8" s="761"/>
      <c r="AB8" s="506"/>
    </row>
    <row r="9" spans="1:28" ht="31.5" x14ac:dyDescent="0.2">
      <c r="A9" s="598">
        <v>1180</v>
      </c>
      <c r="B9" s="599" t="s">
        <v>333</v>
      </c>
      <c r="C9" s="499"/>
      <c r="D9" s="499"/>
      <c r="E9" s="499"/>
      <c r="F9" s="499"/>
      <c r="G9" s="600">
        <f>F9-E9</f>
        <v>0</v>
      </c>
      <c r="H9" s="601" t="str">
        <f t="shared" si="2"/>
        <v>-</v>
      </c>
      <c r="I9" s="763"/>
      <c r="J9" s="499"/>
      <c r="K9" s="501"/>
      <c r="L9" s="600">
        <f t="shared" si="3"/>
        <v>0</v>
      </c>
      <c r="M9" s="601" t="str">
        <f t="shared" si="4"/>
        <v>-</v>
      </c>
      <c r="N9" s="766"/>
      <c r="O9" s="499"/>
      <c r="P9" s="499"/>
      <c r="Q9" s="600">
        <f t="shared" si="5"/>
        <v>0</v>
      </c>
      <c r="R9" s="601" t="str">
        <f t="shared" si="6"/>
        <v>-</v>
      </c>
      <c r="S9" s="759"/>
      <c r="T9" s="499"/>
      <c r="U9" s="499"/>
      <c r="V9" s="600">
        <f>U9-T9</f>
        <v>0</v>
      </c>
      <c r="W9" s="601" t="str">
        <f>IFERROR(V9/ABS(T9), "-")</f>
        <v>-</v>
      </c>
      <c r="X9" s="761"/>
    </row>
    <row r="10" spans="1:28" ht="31.5" x14ac:dyDescent="0.2">
      <c r="A10" s="598">
        <v>1190</v>
      </c>
      <c r="B10" s="599" t="s">
        <v>334</v>
      </c>
      <c r="C10" s="499"/>
      <c r="D10" s="499"/>
      <c r="E10" s="499"/>
      <c r="F10" s="499"/>
      <c r="G10" s="600">
        <f>F10-E10</f>
        <v>0</v>
      </c>
      <c r="H10" s="601" t="str">
        <f t="shared" si="2"/>
        <v>-</v>
      </c>
      <c r="I10" s="764"/>
      <c r="J10" s="499"/>
      <c r="K10" s="501"/>
      <c r="L10" s="600">
        <f t="shared" si="3"/>
        <v>0</v>
      </c>
      <c r="M10" s="601" t="str">
        <f t="shared" si="4"/>
        <v>-</v>
      </c>
      <c r="N10" s="767"/>
      <c r="O10" s="499"/>
      <c r="P10" s="499"/>
      <c r="Q10" s="600">
        <f t="shared" si="5"/>
        <v>0</v>
      </c>
      <c r="R10" s="601" t="str">
        <f t="shared" si="6"/>
        <v>-</v>
      </c>
      <c r="S10" s="768"/>
      <c r="T10" s="499"/>
      <c r="U10" s="499"/>
      <c r="V10" s="600">
        <f>U10-T10</f>
        <v>0</v>
      </c>
      <c r="W10" s="601" t="str">
        <f>IFERROR(V10/ABS(T10), "-")</f>
        <v>-</v>
      </c>
      <c r="X10" s="769"/>
    </row>
    <row r="11" spans="1:28" s="580" customFormat="1" ht="15.75" customHeight="1" x14ac:dyDescent="0.2">
      <c r="A11" s="594">
        <v>1200</v>
      </c>
      <c r="B11" s="595" t="s">
        <v>335</v>
      </c>
      <c r="C11" s="447">
        <f>C12+C13+C14+C15+C16+C17+C18+C19+C20</f>
        <v>12632127</v>
      </c>
      <c r="D11" s="447">
        <f>D12+D13+D14+D15+D16+D17+D18+D19+D20</f>
        <v>12523996</v>
      </c>
      <c r="E11" s="447">
        <f>E12+E13+E14+E15+E16+E17+E18+E19+E20</f>
        <v>12309550</v>
      </c>
      <c r="F11" s="447">
        <f t="shared" ref="F11" si="13">F12+F13+F14+F15+F16+F17+F18+F19+F20</f>
        <v>12643077</v>
      </c>
      <c r="G11" s="602">
        <f t="shared" si="1"/>
        <v>333527</v>
      </c>
      <c r="H11" s="597">
        <f t="shared" si="2"/>
        <v>2.7094979101591855E-2</v>
      </c>
      <c r="I11" s="746" t="s">
        <v>336</v>
      </c>
      <c r="J11" s="447">
        <f>J12+J13+J14+J15+J16+J17+J18+J19+J20</f>
        <v>12177573</v>
      </c>
      <c r="K11" s="447">
        <f t="shared" ref="K11" si="14">K12+K13+K14+K15+K16+K17+K18+K19+K20</f>
        <v>12536247</v>
      </c>
      <c r="L11" s="602">
        <f t="shared" si="3"/>
        <v>358674</v>
      </c>
      <c r="M11" s="597">
        <f t="shared" si="4"/>
        <v>2.945365221789268E-2</v>
      </c>
      <c r="N11" s="603" t="s">
        <v>337</v>
      </c>
      <c r="O11" s="447">
        <f t="shared" ref="O11:P11" si="15">O12+O13+O14+O15+O16+O17+O18+O19+O20</f>
        <v>12181067</v>
      </c>
      <c r="P11" s="447">
        <f t="shared" si="15"/>
        <v>12396674</v>
      </c>
      <c r="Q11" s="602">
        <f t="shared" si="5"/>
        <v>215607</v>
      </c>
      <c r="R11" s="597">
        <f t="shared" si="6"/>
        <v>1.770017355622459E-2</v>
      </c>
      <c r="S11" s="758"/>
      <c r="T11" s="447">
        <f t="shared" ref="T11:U11" si="16">T12+T13+T14+T15+T16+T17+T18+T19+T20</f>
        <v>12523996</v>
      </c>
      <c r="U11" s="447">
        <f t="shared" si="16"/>
        <v>13735527</v>
      </c>
      <c r="V11" s="596">
        <f t="shared" si="7"/>
        <v>1211531</v>
      </c>
      <c r="W11" s="597">
        <f t="shared" si="8"/>
        <v>9.6736776345185668E-2</v>
      </c>
      <c r="X11" s="760" t="s">
        <v>338</v>
      </c>
    </row>
    <row r="12" spans="1:28" x14ac:dyDescent="0.2">
      <c r="A12" s="598">
        <v>1210</v>
      </c>
      <c r="B12" s="599" t="s">
        <v>339</v>
      </c>
      <c r="C12" s="499">
        <v>9459396</v>
      </c>
      <c r="D12" s="499">
        <f>9459396-100000</f>
        <v>9359396</v>
      </c>
      <c r="E12" s="604">
        <f>C12-25000</f>
        <v>9434396</v>
      </c>
      <c r="F12" s="499">
        <v>9431217</v>
      </c>
      <c r="G12" s="600">
        <f t="shared" si="1"/>
        <v>-3179</v>
      </c>
      <c r="H12" s="601">
        <f t="shared" si="2"/>
        <v>-3.3695850799563638E-4</v>
      </c>
      <c r="I12" s="747"/>
      <c r="J12" s="499">
        <f>E12-25000</f>
        <v>9409396</v>
      </c>
      <c r="K12" s="501">
        <v>9430570</v>
      </c>
      <c r="L12" s="600">
        <f t="shared" si="3"/>
        <v>21174</v>
      </c>
      <c r="M12" s="601">
        <f t="shared" si="4"/>
        <v>2.2503038452202457E-3</v>
      </c>
      <c r="N12" s="605"/>
      <c r="O12" s="501">
        <f>J12-25000</f>
        <v>9384396</v>
      </c>
      <c r="P12" s="499">
        <f>9411171-9126</f>
        <v>9402045</v>
      </c>
      <c r="Q12" s="600">
        <f t="shared" si="5"/>
        <v>17649</v>
      </c>
      <c r="R12" s="601">
        <f t="shared" si="6"/>
        <v>1.8806751121755731E-3</v>
      </c>
      <c r="S12" s="759"/>
      <c r="T12" s="499">
        <f>9459396-100000</f>
        <v>9359396</v>
      </c>
      <c r="U12" s="499">
        <v>9395003</v>
      </c>
      <c r="V12" s="600">
        <f t="shared" si="7"/>
        <v>35607</v>
      </c>
      <c r="W12" s="601">
        <f t="shared" si="8"/>
        <v>3.8044121650585147E-3</v>
      </c>
      <c r="X12" s="761"/>
    </row>
    <row r="13" spans="1:28" x14ac:dyDescent="0.2">
      <c r="A13" s="598">
        <v>1220</v>
      </c>
      <c r="B13" s="599" t="s">
        <v>340</v>
      </c>
      <c r="C13" s="499">
        <v>1928596</v>
      </c>
      <c r="D13" s="499">
        <v>1930000</v>
      </c>
      <c r="E13" s="499">
        <v>1593596</v>
      </c>
      <c r="F13" s="499">
        <v>1991393</v>
      </c>
      <c r="G13" s="600">
        <f t="shared" si="1"/>
        <v>397797</v>
      </c>
      <c r="H13" s="606">
        <f t="shared" si="2"/>
        <v>0.24962223800762551</v>
      </c>
      <c r="I13" s="747"/>
      <c r="J13" s="499">
        <f>E13-45000</f>
        <v>1548596</v>
      </c>
      <c r="K13" s="501">
        <f>1914649+2940</f>
        <v>1917589</v>
      </c>
      <c r="L13" s="600">
        <f t="shared" si="3"/>
        <v>368993</v>
      </c>
      <c r="M13" s="601">
        <f t="shared" si="4"/>
        <v>0.23827583178569492</v>
      </c>
      <c r="N13" s="605"/>
      <c r="O13" s="501">
        <f>J13-200000+300000</f>
        <v>1648596</v>
      </c>
      <c r="P13" s="499">
        <v>1829054</v>
      </c>
      <c r="Q13" s="600">
        <f t="shared" si="5"/>
        <v>180458</v>
      </c>
      <c r="R13" s="601">
        <f t="shared" si="6"/>
        <v>0.10946162674178513</v>
      </c>
      <c r="S13" s="759"/>
      <c r="T13" s="501">
        <v>1930000</v>
      </c>
      <c r="U13" s="499">
        <v>3163093</v>
      </c>
      <c r="V13" s="600">
        <f t="shared" si="7"/>
        <v>1233093</v>
      </c>
      <c r="W13" s="601">
        <f t="shared" si="8"/>
        <v>0.63890829015544037</v>
      </c>
      <c r="X13" s="761"/>
    </row>
    <row r="14" spans="1:28" x14ac:dyDescent="0.2">
      <c r="A14" s="598">
        <v>1230</v>
      </c>
      <c r="B14" s="599" t="s">
        <v>341</v>
      </c>
      <c r="C14" s="499">
        <v>1234606</v>
      </c>
      <c r="D14" s="499">
        <v>1234600</v>
      </c>
      <c r="E14" s="499">
        <v>1272029</v>
      </c>
      <c r="F14" s="499">
        <v>1210938</v>
      </c>
      <c r="G14" s="600">
        <f t="shared" si="1"/>
        <v>-61091</v>
      </c>
      <c r="H14" s="601">
        <f t="shared" si="2"/>
        <v>-4.8026420781287216E-2</v>
      </c>
      <c r="I14" s="747"/>
      <c r="J14" s="499">
        <v>1210052</v>
      </c>
      <c r="K14" s="501">
        <v>1178559</v>
      </c>
      <c r="L14" s="600">
        <f t="shared" si="3"/>
        <v>-31493</v>
      </c>
      <c r="M14" s="601">
        <f t="shared" si="4"/>
        <v>-2.6026154247916617E-2</v>
      </c>
      <c r="N14" s="605"/>
      <c r="O14" s="501">
        <f>1210052-61977</f>
        <v>1148075</v>
      </c>
      <c r="P14" s="499">
        <v>1156046</v>
      </c>
      <c r="Q14" s="600">
        <f t="shared" si="5"/>
        <v>7971</v>
      </c>
      <c r="R14" s="601">
        <f t="shared" si="6"/>
        <v>6.9429262025564528E-3</v>
      </c>
      <c r="S14" s="759"/>
      <c r="T14" s="501">
        <v>1234600</v>
      </c>
      <c r="U14" s="499">
        <v>1167902</v>
      </c>
      <c r="V14" s="600">
        <f t="shared" si="7"/>
        <v>-66698</v>
      </c>
      <c r="W14" s="601">
        <f t="shared" si="8"/>
        <v>-5.4023975376640207E-2</v>
      </c>
      <c r="X14" s="761"/>
    </row>
    <row r="15" spans="1:28" ht="35.25" customHeight="1" x14ac:dyDescent="0.2">
      <c r="A15" s="598">
        <v>1240</v>
      </c>
      <c r="B15" s="599" t="s">
        <v>342</v>
      </c>
      <c r="C15" s="499">
        <v>9529</v>
      </c>
      <c r="D15" s="499">
        <v>0</v>
      </c>
      <c r="E15" s="499">
        <v>9529</v>
      </c>
      <c r="F15" s="499">
        <v>9529</v>
      </c>
      <c r="G15" s="600">
        <f t="shared" si="1"/>
        <v>0</v>
      </c>
      <c r="H15" s="601">
        <f t="shared" si="2"/>
        <v>0</v>
      </c>
      <c r="I15" s="747"/>
      <c r="J15" s="499">
        <v>9529</v>
      </c>
      <c r="K15" s="501">
        <v>9529</v>
      </c>
      <c r="L15" s="600">
        <f t="shared" si="3"/>
        <v>0</v>
      </c>
      <c r="M15" s="601">
        <f t="shared" si="4"/>
        <v>0</v>
      </c>
      <c r="N15" s="605"/>
      <c r="O15" s="501">
        <v>0</v>
      </c>
      <c r="P15" s="499">
        <v>9529</v>
      </c>
      <c r="Q15" s="600">
        <f t="shared" si="5"/>
        <v>9529</v>
      </c>
      <c r="R15" s="601" t="str">
        <f t="shared" si="6"/>
        <v>-</v>
      </c>
      <c r="S15" s="759"/>
      <c r="T15" s="501">
        <v>0</v>
      </c>
      <c r="U15" s="499">
        <v>9529</v>
      </c>
      <c r="V15" s="600">
        <f t="shared" si="7"/>
        <v>9529</v>
      </c>
      <c r="W15" s="601" t="str">
        <f t="shared" si="8"/>
        <v>-</v>
      </c>
      <c r="X15" s="761"/>
    </row>
    <row r="16" spans="1:28" x14ac:dyDescent="0.2">
      <c r="A16" s="598">
        <v>1250</v>
      </c>
      <c r="B16" s="599" t="s">
        <v>343</v>
      </c>
      <c r="C16" s="499"/>
      <c r="D16" s="499"/>
      <c r="E16" s="499"/>
      <c r="F16" s="499"/>
      <c r="G16" s="600">
        <f t="shared" si="1"/>
        <v>0</v>
      </c>
      <c r="H16" s="601" t="str">
        <f t="shared" si="2"/>
        <v>-</v>
      </c>
      <c r="I16" s="747"/>
      <c r="J16" s="499"/>
      <c r="K16" s="501"/>
      <c r="L16" s="600">
        <f t="shared" si="3"/>
        <v>0</v>
      </c>
      <c r="M16" s="601" t="str">
        <f t="shared" si="4"/>
        <v>-</v>
      </c>
      <c r="N16" s="605"/>
      <c r="O16" s="499"/>
      <c r="P16" s="499"/>
      <c r="Q16" s="600">
        <f t="shared" si="5"/>
        <v>0</v>
      </c>
      <c r="R16" s="601" t="str">
        <f t="shared" si="6"/>
        <v>-</v>
      </c>
      <c r="S16" s="759"/>
      <c r="T16" s="499"/>
      <c r="U16" s="499"/>
      <c r="V16" s="600">
        <f t="shared" si="7"/>
        <v>0</v>
      </c>
      <c r="W16" s="601" t="str">
        <f t="shared" si="8"/>
        <v>-</v>
      </c>
      <c r="X16" s="761"/>
    </row>
    <row r="17" spans="1:26" x14ac:dyDescent="0.2">
      <c r="A17" s="598">
        <v>1260</v>
      </c>
      <c r="B17" s="599" t="s">
        <v>344</v>
      </c>
      <c r="C17" s="499"/>
      <c r="D17" s="499"/>
      <c r="E17" s="499"/>
      <c r="F17" s="499"/>
      <c r="G17" s="600">
        <f t="shared" si="1"/>
        <v>0</v>
      </c>
      <c r="H17" s="601" t="str">
        <f t="shared" si="2"/>
        <v>-</v>
      </c>
      <c r="I17" s="747"/>
      <c r="J17" s="499"/>
      <c r="K17" s="501"/>
      <c r="L17" s="600">
        <f t="shared" si="3"/>
        <v>0</v>
      </c>
      <c r="M17" s="601" t="str">
        <f t="shared" si="4"/>
        <v>-</v>
      </c>
      <c r="N17" s="605"/>
      <c r="O17" s="499"/>
      <c r="P17" s="499"/>
      <c r="Q17" s="600">
        <f t="shared" si="5"/>
        <v>0</v>
      </c>
      <c r="R17" s="601" t="str">
        <f t="shared" si="6"/>
        <v>-</v>
      </c>
      <c r="S17" s="759"/>
      <c r="T17" s="499"/>
      <c r="U17" s="499"/>
      <c r="V17" s="600">
        <f t="shared" si="7"/>
        <v>0</v>
      </c>
      <c r="W17" s="601" t="str">
        <f t="shared" si="8"/>
        <v>-</v>
      </c>
      <c r="X17" s="761"/>
      <c r="Z17" s="506"/>
    </row>
    <row r="18" spans="1:26" ht="28.5" customHeight="1" x14ac:dyDescent="0.2">
      <c r="A18" s="598">
        <v>1270</v>
      </c>
      <c r="B18" s="599" t="s">
        <v>345</v>
      </c>
      <c r="C18" s="499"/>
      <c r="D18" s="499"/>
      <c r="E18" s="499"/>
      <c r="F18" s="499"/>
      <c r="G18" s="600">
        <f t="shared" si="1"/>
        <v>0</v>
      </c>
      <c r="H18" s="601" t="str">
        <f t="shared" si="2"/>
        <v>-</v>
      </c>
      <c r="I18" s="747"/>
      <c r="J18" s="499"/>
      <c r="K18" s="501"/>
      <c r="L18" s="600">
        <f t="shared" si="3"/>
        <v>0</v>
      </c>
      <c r="M18" s="601" t="str">
        <f t="shared" si="4"/>
        <v>-</v>
      </c>
      <c r="N18" s="605"/>
      <c r="O18" s="499"/>
      <c r="P18" s="499"/>
      <c r="Q18" s="600">
        <f t="shared" si="5"/>
        <v>0</v>
      </c>
      <c r="R18" s="601" t="str">
        <f t="shared" si="6"/>
        <v>-</v>
      </c>
      <c r="S18" s="759"/>
      <c r="T18" s="499"/>
      <c r="U18" s="499"/>
      <c r="V18" s="600">
        <f t="shared" si="7"/>
        <v>0</v>
      </c>
      <c r="W18" s="601" t="str">
        <f t="shared" si="8"/>
        <v>-</v>
      </c>
      <c r="X18" s="761"/>
      <c r="Z18" s="506"/>
    </row>
    <row r="19" spans="1:26" x14ac:dyDescent="0.2">
      <c r="A19" s="598">
        <v>1280</v>
      </c>
      <c r="B19" s="599" t="s">
        <v>346</v>
      </c>
      <c r="C19" s="499"/>
      <c r="D19" s="499"/>
      <c r="E19" s="499"/>
      <c r="F19" s="499"/>
      <c r="G19" s="600">
        <f t="shared" si="1"/>
        <v>0</v>
      </c>
      <c r="H19" s="601" t="str">
        <f t="shared" si="2"/>
        <v>-</v>
      </c>
      <c r="I19" s="747"/>
      <c r="J19" s="499"/>
      <c r="K19" s="501"/>
      <c r="L19" s="600">
        <f t="shared" si="3"/>
        <v>0</v>
      </c>
      <c r="M19" s="601" t="str">
        <f t="shared" si="4"/>
        <v>-</v>
      </c>
      <c r="N19" s="605"/>
      <c r="O19" s="499"/>
      <c r="P19" s="499"/>
      <c r="Q19" s="600">
        <f t="shared" si="5"/>
        <v>0</v>
      </c>
      <c r="R19" s="601" t="str">
        <f t="shared" si="6"/>
        <v>-</v>
      </c>
      <c r="S19" s="759"/>
      <c r="T19" s="499"/>
      <c r="U19" s="499"/>
      <c r="V19" s="600">
        <f t="shared" si="7"/>
        <v>0</v>
      </c>
      <c r="W19" s="601" t="str">
        <f t="shared" si="8"/>
        <v>-</v>
      </c>
      <c r="X19" s="761"/>
      <c r="Z19" s="506"/>
    </row>
    <row r="20" spans="1:26" ht="31.5" customHeight="1" x14ac:dyDescent="0.2">
      <c r="A20" s="598">
        <v>1290</v>
      </c>
      <c r="B20" s="599" t="s">
        <v>347</v>
      </c>
      <c r="C20" s="499"/>
      <c r="D20" s="499"/>
      <c r="E20" s="499"/>
      <c r="F20" s="499"/>
      <c r="G20" s="600">
        <f t="shared" si="1"/>
        <v>0</v>
      </c>
      <c r="H20" s="601" t="str">
        <f t="shared" si="2"/>
        <v>-</v>
      </c>
      <c r="I20" s="747"/>
      <c r="J20" s="499"/>
      <c r="K20" s="501"/>
      <c r="L20" s="600">
        <f t="shared" si="3"/>
        <v>0</v>
      </c>
      <c r="M20" s="601" t="str">
        <f t="shared" si="4"/>
        <v>-</v>
      </c>
      <c r="N20" s="605"/>
      <c r="O20" s="499"/>
      <c r="P20" s="499"/>
      <c r="Q20" s="600">
        <f t="shared" si="5"/>
        <v>0</v>
      </c>
      <c r="R20" s="601" t="str">
        <f t="shared" si="6"/>
        <v>-</v>
      </c>
      <c r="S20" s="759"/>
      <c r="T20" s="499"/>
      <c r="U20" s="499"/>
      <c r="V20" s="600">
        <f t="shared" si="7"/>
        <v>0</v>
      </c>
      <c r="W20" s="601" t="str">
        <f t="shared" si="8"/>
        <v>-</v>
      </c>
      <c r="X20" s="761"/>
      <c r="Z20" s="506"/>
    </row>
    <row r="21" spans="1:26" s="611" customFormat="1" ht="15.6" customHeight="1" x14ac:dyDescent="0.2">
      <c r="A21" s="594">
        <v>1300</v>
      </c>
      <c r="B21" s="595" t="s">
        <v>348</v>
      </c>
      <c r="C21" s="447">
        <v>0</v>
      </c>
      <c r="D21" s="447">
        <v>0</v>
      </c>
      <c r="E21" s="447">
        <v>0</v>
      </c>
      <c r="F21" s="447">
        <v>0</v>
      </c>
      <c r="G21" s="596">
        <v>0</v>
      </c>
      <c r="H21" s="607" t="str">
        <f t="shared" si="2"/>
        <v>-</v>
      </c>
      <c r="I21" s="747"/>
      <c r="J21" s="608">
        <v>0</v>
      </c>
      <c r="K21" s="447">
        <v>0</v>
      </c>
      <c r="L21" s="596">
        <v>0</v>
      </c>
      <c r="M21" s="597" t="str">
        <f t="shared" si="4"/>
        <v>-</v>
      </c>
      <c r="N21" s="609"/>
      <c r="O21" s="447">
        <v>0</v>
      </c>
      <c r="P21" s="447">
        <v>0</v>
      </c>
      <c r="Q21" s="596">
        <f>P21-O21</f>
        <v>0</v>
      </c>
      <c r="R21" s="597" t="str">
        <f t="shared" si="6"/>
        <v>-</v>
      </c>
      <c r="S21" s="609"/>
      <c r="T21" s="447">
        <v>0</v>
      </c>
      <c r="U21" s="447">
        <v>0</v>
      </c>
      <c r="V21" s="596">
        <f t="shared" si="7"/>
        <v>0</v>
      </c>
      <c r="W21" s="597" t="str">
        <f t="shared" si="8"/>
        <v>-</v>
      </c>
      <c r="X21" s="610"/>
      <c r="Z21" s="612"/>
    </row>
    <row r="22" spans="1:26" s="615" customFormat="1" ht="15.95" customHeight="1" x14ac:dyDescent="0.2">
      <c r="A22" s="613">
        <v>1400</v>
      </c>
      <c r="B22" s="595" t="s">
        <v>349</v>
      </c>
      <c r="C22" s="500">
        <v>0</v>
      </c>
      <c r="D22" s="500">
        <v>0</v>
      </c>
      <c r="E22" s="500">
        <v>0</v>
      </c>
      <c r="F22" s="500">
        <v>0</v>
      </c>
      <c r="G22" s="602">
        <f t="shared" ref="G22:G47" si="17">F22-E22</f>
        <v>0</v>
      </c>
      <c r="H22" s="607" t="str">
        <f t="shared" si="2"/>
        <v>-</v>
      </c>
      <c r="I22" s="747"/>
      <c r="J22" s="614">
        <v>0</v>
      </c>
      <c r="K22" s="500">
        <v>0</v>
      </c>
      <c r="L22" s="596">
        <v>0</v>
      </c>
      <c r="M22" s="597" t="str">
        <f t="shared" si="4"/>
        <v>-</v>
      </c>
      <c r="N22" s="609"/>
      <c r="O22" s="500">
        <v>0</v>
      </c>
      <c r="P22" s="500">
        <v>0</v>
      </c>
      <c r="Q22" s="596">
        <f t="shared" ref="Q22:Q43" si="18">P22-O22</f>
        <v>0</v>
      </c>
      <c r="R22" s="597" t="str">
        <f t="shared" si="6"/>
        <v>-</v>
      </c>
      <c r="S22" s="610"/>
      <c r="T22" s="500">
        <v>0</v>
      </c>
      <c r="U22" s="500">
        <v>0</v>
      </c>
      <c r="V22" s="596">
        <f t="shared" si="7"/>
        <v>0</v>
      </c>
      <c r="W22" s="597" t="str">
        <f t="shared" si="8"/>
        <v>-</v>
      </c>
      <c r="X22" s="610"/>
      <c r="Z22" s="616"/>
    </row>
    <row r="23" spans="1:26" s="615" customFormat="1" ht="15.95" customHeight="1" x14ac:dyDescent="0.2">
      <c r="A23" s="613">
        <v>1500</v>
      </c>
      <c r="B23" s="595" t="s">
        <v>350</v>
      </c>
      <c r="C23" s="500">
        <v>0</v>
      </c>
      <c r="D23" s="500">
        <v>0</v>
      </c>
      <c r="E23" s="500">
        <v>0</v>
      </c>
      <c r="F23" s="500">
        <v>0</v>
      </c>
      <c r="G23" s="602">
        <f t="shared" si="17"/>
        <v>0</v>
      </c>
      <c r="H23" s="597" t="str">
        <f t="shared" si="2"/>
        <v>-</v>
      </c>
      <c r="I23" s="747"/>
      <c r="J23" s="500">
        <v>0</v>
      </c>
      <c r="K23" s="500">
        <v>0</v>
      </c>
      <c r="L23" s="596">
        <v>0</v>
      </c>
      <c r="M23" s="597" t="str">
        <f t="shared" si="4"/>
        <v>-</v>
      </c>
      <c r="N23" s="617"/>
      <c r="O23" s="500">
        <v>0</v>
      </c>
      <c r="P23" s="500">
        <v>0</v>
      </c>
      <c r="Q23" s="596">
        <f t="shared" si="18"/>
        <v>0</v>
      </c>
      <c r="R23" s="597" t="str">
        <f t="shared" si="6"/>
        <v>-</v>
      </c>
      <c r="S23" s="610"/>
      <c r="T23" s="500">
        <v>0</v>
      </c>
      <c r="U23" s="500">
        <v>0</v>
      </c>
      <c r="V23" s="596">
        <f t="shared" si="7"/>
        <v>0</v>
      </c>
      <c r="W23" s="597" t="str">
        <f t="shared" si="8"/>
        <v>-</v>
      </c>
      <c r="X23" s="610"/>
      <c r="Z23" s="616"/>
    </row>
    <row r="24" spans="1:26" s="615" customFormat="1" ht="31.5" customHeight="1" x14ac:dyDescent="0.2">
      <c r="A24" s="613">
        <v>1600</v>
      </c>
      <c r="B24" s="595" t="s">
        <v>351</v>
      </c>
      <c r="C24" s="500">
        <v>0</v>
      </c>
      <c r="D24" s="500">
        <v>0</v>
      </c>
      <c r="E24" s="500">
        <v>0</v>
      </c>
      <c r="F24" s="500">
        <v>0</v>
      </c>
      <c r="G24" s="602">
        <f t="shared" si="17"/>
        <v>0</v>
      </c>
      <c r="H24" s="597" t="str">
        <f t="shared" si="2"/>
        <v>-</v>
      </c>
      <c r="I24" s="747"/>
      <c r="J24" s="500">
        <v>0</v>
      </c>
      <c r="K24" s="500">
        <v>0</v>
      </c>
      <c r="L24" s="596">
        <v>0</v>
      </c>
      <c r="M24" s="597" t="str">
        <f t="shared" si="4"/>
        <v>-</v>
      </c>
      <c r="N24" s="617"/>
      <c r="O24" s="500">
        <v>0</v>
      </c>
      <c r="P24" s="500">
        <v>0</v>
      </c>
      <c r="Q24" s="596">
        <f t="shared" si="18"/>
        <v>0</v>
      </c>
      <c r="R24" s="597" t="str">
        <f t="shared" si="6"/>
        <v>-</v>
      </c>
      <c r="S24" s="610"/>
      <c r="T24" s="500">
        <v>0</v>
      </c>
      <c r="U24" s="500">
        <v>0</v>
      </c>
      <c r="V24" s="596">
        <f t="shared" si="7"/>
        <v>0</v>
      </c>
      <c r="W24" s="597" t="str">
        <f t="shared" si="8"/>
        <v>-</v>
      </c>
      <c r="X24" s="610"/>
    </row>
    <row r="25" spans="1:26" s="580" customFormat="1" x14ac:dyDescent="0.2">
      <c r="A25" s="581">
        <v>2000</v>
      </c>
      <c r="B25" s="582" t="s">
        <v>352</v>
      </c>
      <c r="C25" s="448">
        <f>C26+C36+C44+C45+C46</f>
        <v>2096823</v>
      </c>
      <c r="D25" s="448">
        <f>D26+D36+D44+D46</f>
        <v>1981547</v>
      </c>
      <c r="E25" s="448">
        <f>E26+E36+E44+E46</f>
        <v>1937584</v>
      </c>
      <c r="F25" s="448">
        <f>F26+F36+F44+F45+F46</f>
        <v>2714354</v>
      </c>
      <c r="G25" s="583">
        <f t="shared" si="17"/>
        <v>776770</v>
      </c>
      <c r="H25" s="584">
        <f t="shared" si="2"/>
        <v>0.40089616759841123</v>
      </c>
      <c r="I25" s="748"/>
      <c r="J25" s="448">
        <f>J26+J36+J44+J46</f>
        <v>2315518</v>
      </c>
      <c r="K25" s="448">
        <f>K26+K36+K44+K46</f>
        <v>2560728</v>
      </c>
      <c r="L25" s="583">
        <f t="shared" ref="L25:L47" si="19">K25-J25</f>
        <v>245210</v>
      </c>
      <c r="M25" s="584">
        <f t="shared" si="4"/>
        <v>0.1058985505619045</v>
      </c>
      <c r="N25" s="586"/>
      <c r="O25" s="448">
        <f>O26+O36+O44+O46</f>
        <v>2646650</v>
      </c>
      <c r="P25" s="448">
        <f>P26+P36+P44+P46</f>
        <v>2590493</v>
      </c>
      <c r="Q25" s="583">
        <f t="shared" si="18"/>
        <v>-56157</v>
      </c>
      <c r="R25" s="584">
        <f t="shared" si="6"/>
        <v>-2.1218143691081177E-2</v>
      </c>
      <c r="S25" s="585"/>
      <c r="T25" s="448">
        <f>T26+T36+T44+T46</f>
        <v>1981547</v>
      </c>
      <c r="U25" s="448">
        <f>U26+U36+U44+U46</f>
        <v>4271806</v>
      </c>
      <c r="V25" s="583">
        <f t="shared" si="7"/>
        <v>2290259</v>
      </c>
      <c r="W25" s="584">
        <f t="shared" si="8"/>
        <v>1.1557934280640327</v>
      </c>
      <c r="X25" s="585"/>
    </row>
    <row r="26" spans="1:26" s="580" customFormat="1" x14ac:dyDescent="0.2">
      <c r="A26" s="594">
        <v>2100</v>
      </c>
      <c r="B26" s="595" t="s">
        <v>353</v>
      </c>
      <c r="C26" s="447">
        <f>SUM(C27:C35)</f>
        <v>482524</v>
      </c>
      <c r="D26" s="447">
        <f t="shared" ref="D26:E26" si="20">SUM(D27:D35)</f>
        <v>487000</v>
      </c>
      <c r="E26" s="447">
        <f t="shared" si="20"/>
        <v>542168</v>
      </c>
      <c r="F26" s="447">
        <f t="shared" ref="F26" si="21">SUM(F27:F34)</f>
        <v>655558</v>
      </c>
      <c r="G26" s="596">
        <f t="shared" si="17"/>
        <v>113390</v>
      </c>
      <c r="H26" s="597">
        <f t="shared" si="2"/>
        <v>0.20914181582092636</v>
      </c>
      <c r="I26" s="752" t="s">
        <v>354</v>
      </c>
      <c r="J26" s="447">
        <f>SUM(J27:J35)</f>
        <v>581527</v>
      </c>
      <c r="K26" s="447">
        <f>SUM(K27:K35)</f>
        <v>677202</v>
      </c>
      <c r="L26" s="596">
        <f t="shared" si="19"/>
        <v>95675</v>
      </c>
      <c r="M26" s="597">
        <f t="shared" si="4"/>
        <v>0.16452374524312716</v>
      </c>
      <c r="N26" s="749" t="s">
        <v>355</v>
      </c>
      <c r="O26" s="447">
        <f>SUM(O27:O35)</f>
        <v>631985</v>
      </c>
      <c r="P26" s="447">
        <f>SUM(P27:P35)</f>
        <v>702993</v>
      </c>
      <c r="Q26" s="596">
        <f t="shared" si="18"/>
        <v>71008</v>
      </c>
      <c r="R26" s="597">
        <f t="shared" si="6"/>
        <v>0.11235709708300039</v>
      </c>
      <c r="S26" s="783"/>
      <c r="T26" s="447">
        <f>SUM(T27:T35)</f>
        <v>487000</v>
      </c>
      <c r="U26" s="447">
        <f>SUM(U27:U35)</f>
        <v>642346</v>
      </c>
      <c r="V26" s="596">
        <f t="shared" si="7"/>
        <v>155346</v>
      </c>
      <c r="W26" s="597">
        <f t="shared" si="8"/>
        <v>0.31898562628336757</v>
      </c>
      <c r="X26" s="755" t="s">
        <v>356</v>
      </c>
    </row>
    <row r="27" spans="1:26" x14ac:dyDescent="0.2">
      <c r="A27" s="598">
        <v>2110</v>
      </c>
      <c r="B27" s="599" t="s">
        <v>357</v>
      </c>
      <c r="C27" s="499">
        <v>481765</v>
      </c>
      <c r="D27" s="499">
        <v>485000</v>
      </c>
      <c r="E27" s="499">
        <v>538631</v>
      </c>
      <c r="F27" s="501">
        <v>648609</v>
      </c>
      <c r="G27" s="600">
        <f t="shared" si="17"/>
        <v>109978</v>
      </c>
      <c r="H27" s="601">
        <f t="shared" si="2"/>
        <v>0.20418059859161466</v>
      </c>
      <c r="I27" s="753"/>
      <c r="J27" s="499">
        <v>578925</v>
      </c>
      <c r="K27" s="501">
        <f>788850-113497</f>
        <v>675353</v>
      </c>
      <c r="L27" s="600">
        <f t="shared" si="19"/>
        <v>96428</v>
      </c>
      <c r="M27" s="601">
        <f t="shared" si="4"/>
        <v>0.16656388996847604</v>
      </c>
      <c r="N27" s="750"/>
      <c r="O27" s="499">
        <v>628682</v>
      </c>
      <c r="P27" s="501">
        <v>699406</v>
      </c>
      <c r="Q27" s="600">
        <f t="shared" si="18"/>
        <v>70724</v>
      </c>
      <c r="R27" s="601">
        <f t="shared" si="6"/>
        <v>0.11249566553519903</v>
      </c>
      <c r="S27" s="784"/>
      <c r="T27" s="499">
        <v>485000</v>
      </c>
      <c r="U27" s="499">
        <v>641144</v>
      </c>
      <c r="V27" s="600">
        <f t="shared" si="7"/>
        <v>156144</v>
      </c>
      <c r="W27" s="601">
        <f t="shared" si="8"/>
        <v>0.32194639175257733</v>
      </c>
      <c r="X27" s="756"/>
    </row>
    <row r="28" spans="1:26" x14ac:dyDescent="0.2">
      <c r="A28" s="598">
        <v>2120</v>
      </c>
      <c r="B28" s="599" t="s">
        <v>358</v>
      </c>
      <c r="C28" s="499"/>
      <c r="D28" s="499"/>
      <c r="E28" s="499"/>
      <c r="F28" s="499"/>
      <c r="G28" s="600">
        <f t="shared" si="17"/>
        <v>0</v>
      </c>
      <c r="H28" s="601" t="str">
        <f t="shared" si="2"/>
        <v>-</v>
      </c>
      <c r="I28" s="753"/>
      <c r="J28" s="499"/>
      <c r="K28" s="501"/>
      <c r="L28" s="600">
        <f t="shared" si="19"/>
        <v>0</v>
      </c>
      <c r="M28" s="601" t="str">
        <f t="shared" si="4"/>
        <v>-</v>
      </c>
      <c r="N28" s="750"/>
      <c r="O28" s="499"/>
      <c r="P28" s="499"/>
      <c r="Q28" s="600">
        <f t="shared" si="18"/>
        <v>0</v>
      </c>
      <c r="R28" s="601" t="str">
        <f t="shared" si="6"/>
        <v>-</v>
      </c>
      <c r="S28" s="784"/>
      <c r="T28" s="499"/>
      <c r="U28" s="499"/>
      <c r="V28" s="600">
        <f t="shared" si="7"/>
        <v>0</v>
      </c>
      <c r="W28" s="601" t="str">
        <f t="shared" si="8"/>
        <v>-</v>
      </c>
      <c r="X28" s="756"/>
    </row>
    <row r="29" spans="1:26" ht="31.5" x14ac:dyDescent="0.2">
      <c r="A29" s="598">
        <v>2130</v>
      </c>
      <c r="B29" s="599" t="s">
        <v>359</v>
      </c>
      <c r="C29" s="499"/>
      <c r="D29" s="499"/>
      <c r="E29" s="499"/>
      <c r="F29" s="499"/>
      <c r="G29" s="600">
        <f t="shared" si="17"/>
        <v>0</v>
      </c>
      <c r="H29" s="601" t="str">
        <f t="shared" si="2"/>
        <v>-</v>
      </c>
      <c r="I29" s="753"/>
      <c r="J29" s="499"/>
      <c r="K29" s="501"/>
      <c r="L29" s="600">
        <f t="shared" si="19"/>
        <v>0</v>
      </c>
      <c r="M29" s="601" t="str">
        <f t="shared" si="4"/>
        <v>-</v>
      </c>
      <c r="N29" s="750"/>
      <c r="O29" s="499"/>
      <c r="P29" s="499"/>
      <c r="Q29" s="600">
        <f t="shared" si="18"/>
        <v>0</v>
      </c>
      <c r="R29" s="601" t="str">
        <f t="shared" si="6"/>
        <v>-</v>
      </c>
      <c r="S29" s="784"/>
      <c r="T29" s="499"/>
      <c r="U29" s="499"/>
      <c r="V29" s="600">
        <f t="shared" si="7"/>
        <v>0</v>
      </c>
      <c r="W29" s="601" t="str">
        <f t="shared" si="8"/>
        <v>-</v>
      </c>
      <c r="X29" s="756"/>
    </row>
    <row r="30" spans="1:26" ht="15.6" customHeight="1" x14ac:dyDescent="0.2">
      <c r="A30" s="598">
        <v>2140</v>
      </c>
      <c r="B30" s="618" t="s">
        <v>360</v>
      </c>
      <c r="C30" s="499"/>
      <c r="D30" s="499"/>
      <c r="E30" s="499"/>
      <c r="F30" s="499"/>
      <c r="G30" s="600">
        <f t="shared" si="17"/>
        <v>0</v>
      </c>
      <c r="H30" s="601" t="str">
        <f t="shared" si="2"/>
        <v>-</v>
      </c>
      <c r="I30" s="753"/>
      <c r="J30" s="499"/>
      <c r="K30" s="501"/>
      <c r="L30" s="600">
        <f t="shared" si="19"/>
        <v>0</v>
      </c>
      <c r="M30" s="601" t="str">
        <f t="shared" si="4"/>
        <v>-</v>
      </c>
      <c r="N30" s="750"/>
      <c r="O30" s="499"/>
      <c r="P30" s="499"/>
      <c r="Q30" s="600">
        <f t="shared" si="18"/>
        <v>0</v>
      </c>
      <c r="R30" s="601" t="str">
        <f t="shared" si="6"/>
        <v>-</v>
      </c>
      <c r="S30" s="784"/>
      <c r="T30" s="499"/>
      <c r="U30" s="499"/>
      <c r="V30" s="600">
        <f t="shared" si="7"/>
        <v>0</v>
      </c>
      <c r="W30" s="601" t="str">
        <f t="shared" si="8"/>
        <v>-</v>
      </c>
      <c r="X30" s="756"/>
    </row>
    <row r="31" spans="1:26" ht="15.6" customHeight="1" x14ac:dyDescent="0.2">
      <c r="A31" s="598">
        <v>2150</v>
      </c>
      <c r="B31" s="618" t="s">
        <v>361</v>
      </c>
      <c r="C31" s="499"/>
      <c r="D31" s="499"/>
      <c r="E31" s="499"/>
      <c r="F31" s="499"/>
      <c r="G31" s="600">
        <f t="shared" si="17"/>
        <v>0</v>
      </c>
      <c r="H31" s="601" t="str">
        <f t="shared" si="2"/>
        <v>-</v>
      </c>
      <c r="I31" s="753"/>
      <c r="J31" s="499"/>
      <c r="K31" s="501"/>
      <c r="L31" s="600">
        <f t="shared" si="19"/>
        <v>0</v>
      </c>
      <c r="M31" s="601" t="str">
        <f t="shared" si="4"/>
        <v>-</v>
      </c>
      <c r="N31" s="750"/>
      <c r="O31" s="499"/>
      <c r="P31" s="499"/>
      <c r="Q31" s="600">
        <f t="shared" si="18"/>
        <v>0</v>
      </c>
      <c r="R31" s="601" t="str">
        <f t="shared" si="6"/>
        <v>-</v>
      </c>
      <c r="S31" s="784"/>
      <c r="T31" s="499"/>
      <c r="U31" s="499"/>
      <c r="V31" s="600">
        <f t="shared" si="7"/>
        <v>0</v>
      </c>
      <c r="W31" s="601" t="str">
        <f t="shared" si="8"/>
        <v>-</v>
      </c>
      <c r="X31" s="756"/>
    </row>
    <row r="32" spans="1:26" ht="15.6" customHeight="1" x14ac:dyDescent="0.2">
      <c r="A32" s="598">
        <v>2160</v>
      </c>
      <c r="B32" s="618" t="s">
        <v>173</v>
      </c>
      <c r="C32" s="499"/>
      <c r="D32" s="499"/>
      <c r="E32" s="499"/>
      <c r="F32" s="499"/>
      <c r="G32" s="600">
        <f t="shared" si="17"/>
        <v>0</v>
      </c>
      <c r="H32" s="601" t="str">
        <f t="shared" si="2"/>
        <v>-</v>
      </c>
      <c r="I32" s="753"/>
      <c r="J32" s="499"/>
      <c r="K32" s="501"/>
      <c r="L32" s="600">
        <f t="shared" si="19"/>
        <v>0</v>
      </c>
      <c r="M32" s="601" t="str">
        <f t="shared" si="4"/>
        <v>-</v>
      </c>
      <c r="N32" s="750"/>
      <c r="O32" s="499"/>
      <c r="P32" s="499"/>
      <c r="Q32" s="600">
        <f t="shared" si="18"/>
        <v>0</v>
      </c>
      <c r="R32" s="601" t="str">
        <f t="shared" si="6"/>
        <v>-</v>
      </c>
      <c r="S32" s="784"/>
      <c r="T32" s="499"/>
      <c r="U32" s="499"/>
      <c r="V32" s="600">
        <f t="shared" si="7"/>
        <v>0</v>
      </c>
      <c r="W32" s="601" t="str">
        <f t="shared" si="8"/>
        <v>-</v>
      </c>
      <c r="X32" s="756"/>
    </row>
    <row r="33" spans="1:24" ht="30.95" customHeight="1" x14ac:dyDescent="0.2">
      <c r="A33" s="598">
        <v>2170</v>
      </c>
      <c r="B33" s="618" t="s">
        <v>362</v>
      </c>
      <c r="C33" s="499"/>
      <c r="D33" s="499"/>
      <c r="E33" s="499"/>
      <c r="F33" s="499"/>
      <c r="G33" s="600">
        <f t="shared" si="17"/>
        <v>0</v>
      </c>
      <c r="H33" s="601" t="str">
        <f t="shared" si="2"/>
        <v>-</v>
      </c>
      <c r="I33" s="753"/>
      <c r="J33" s="499"/>
      <c r="K33" s="501"/>
      <c r="L33" s="600">
        <f t="shared" si="19"/>
        <v>0</v>
      </c>
      <c r="M33" s="601" t="str">
        <f t="shared" si="4"/>
        <v>-</v>
      </c>
      <c r="N33" s="750"/>
      <c r="O33" s="499"/>
      <c r="P33" s="499"/>
      <c r="Q33" s="600">
        <f t="shared" si="18"/>
        <v>0</v>
      </c>
      <c r="R33" s="601" t="str">
        <f t="shared" si="6"/>
        <v>-</v>
      </c>
      <c r="S33" s="784"/>
      <c r="T33" s="499"/>
      <c r="U33" s="499"/>
      <c r="V33" s="600">
        <f t="shared" si="7"/>
        <v>0</v>
      </c>
      <c r="W33" s="601" t="str">
        <f t="shared" si="8"/>
        <v>-</v>
      </c>
      <c r="X33" s="756"/>
    </row>
    <row r="34" spans="1:24" ht="31.5" x14ac:dyDescent="0.2">
      <c r="A34" s="598">
        <v>2180</v>
      </c>
      <c r="B34" s="599" t="s">
        <v>363</v>
      </c>
      <c r="C34" s="499">
        <v>759</v>
      </c>
      <c r="D34" s="499">
        <v>2000</v>
      </c>
      <c r="E34" s="499">
        <v>3537</v>
      </c>
      <c r="F34" s="499">
        <v>6949</v>
      </c>
      <c r="G34" s="600">
        <f t="shared" si="17"/>
        <v>3412</v>
      </c>
      <c r="H34" s="601">
        <f t="shared" si="2"/>
        <v>0.96465931580435393</v>
      </c>
      <c r="I34" s="753"/>
      <c r="J34" s="499">
        <v>2602</v>
      </c>
      <c r="K34" s="501">
        <v>1849</v>
      </c>
      <c r="L34" s="600">
        <f t="shared" si="19"/>
        <v>-753</v>
      </c>
      <c r="M34" s="601">
        <f t="shared" si="4"/>
        <v>-0.28939277478862413</v>
      </c>
      <c r="N34" s="750"/>
      <c r="O34" s="499">
        <v>3303</v>
      </c>
      <c r="P34" s="499">
        <v>3587</v>
      </c>
      <c r="Q34" s="600">
        <f t="shared" si="18"/>
        <v>284</v>
      </c>
      <c r="R34" s="601">
        <f t="shared" si="6"/>
        <v>8.598244020587345E-2</v>
      </c>
      <c r="S34" s="784"/>
      <c r="T34" s="499">
        <v>2000</v>
      </c>
      <c r="U34" s="499">
        <v>1202</v>
      </c>
      <c r="V34" s="600">
        <f t="shared" si="7"/>
        <v>-798</v>
      </c>
      <c r="W34" s="601">
        <f t="shared" si="8"/>
        <v>-0.39900000000000002</v>
      </c>
      <c r="X34" s="756"/>
    </row>
    <row r="35" spans="1:24" x14ac:dyDescent="0.2">
      <c r="A35" s="598">
        <v>2190</v>
      </c>
      <c r="B35" s="599" t="s">
        <v>364</v>
      </c>
      <c r="C35" s="499"/>
      <c r="D35" s="499"/>
      <c r="E35" s="499"/>
      <c r="F35" s="499"/>
      <c r="G35" s="600">
        <f t="shared" si="17"/>
        <v>0</v>
      </c>
      <c r="H35" s="601" t="str">
        <f t="shared" si="2"/>
        <v>-</v>
      </c>
      <c r="I35" s="754"/>
      <c r="J35" s="499"/>
      <c r="K35" s="501"/>
      <c r="L35" s="600">
        <f t="shared" si="19"/>
        <v>0</v>
      </c>
      <c r="M35" s="601" t="str">
        <f t="shared" si="4"/>
        <v>-</v>
      </c>
      <c r="N35" s="751"/>
      <c r="O35" s="499"/>
      <c r="P35" s="499"/>
      <c r="Q35" s="600">
        <f t="shared" si="18"/>
        <v>0</v>
      </c>
      <c r="R35" s="601" t="str">
        <f t="shared" si="6"/>
        <v>-</v>
      </c>
      <c r="S35" s="785"/>
      <c r="T35" s="499"/>
      <c r="U35" s="499"/>
      <c r="V35" s="600">
        <f t="shared" si="7"/>
        <v>0</v>
      </c>
      <c r="W35" s="601" t="str">
        <f t="shared" si="8"/>
        <v>-</v>
      </c>
      <c r="X35" s="757"/>
    </row>
    <row r="36" spans="1:24" s="615" customFormat="1" x14ac:dyDescent="0.2">
      <c r="A36" s="594">
        <v>2300</v>
      </c>
      <c r="B36" s="595" t="s">
        <v>365</v>
      </c>
      <c r="C36" s="500">
        <f>SUM(C37:C43)</f>
        <v>1252018</v>
      </c>
      <c r="D36" s="500">
        <f t="shared" ref="D36:E36" si="22">SUM(D37:D43)</f>
        <v>1467719</v>
      </c>
      <c r="E36" s="500">
        <f t="shared" si="22"/>
        <v>1291036</v>
      </c>
      <c r="F36" s="500">
        <f>SUM(F37:F43)</f>
        <v>1153180</v>
      </c>
      <c r="G36" s="602">
        <f t="shared" si="17"/>
        <v>-137856</v>
      </c>
      <c r="H36" s="619">
        <f t="shared" si="2"/>
        <v>-0.10677936169092109</v>
      </c>
      <c r="I36" s="620"/>
      <c r="J36" s="500">
        <f>SUM(J37:J43)</f>
        <v>1650450</v>
      </c>
      <c r="K36" s="500">
        <f>SUM(K37:K43)</f>
        <v>1102370</v>
      </c>
      <c r="L36" s="602">
        <f t="shared" si="19"/>
        <v>-548080</v>
      </c>
      <c r="M36" s="619">
        <f t="shared" si="4"/>
        <v>-0.33207912993426036</v>
      </c>
      <c r="N36" s="609"/>
      <c r="O36" s="500">
        <f>SUM(O37:O43)</f>
        <v>1969612</v>
      </c>
      <c r="P36" s="500">
        <f>SUM(P37:P43)</f>
        <v>961686</v>
      </c>
      <c r="Q36" s="602">
        <f t="shared" si="18"/>
        <v>-1007926</v>
      </c>
      <c r="R36" s="619">
        <f t="shared" si="6"/>
        <v>-0.51173835252831523</v>
      </c>
      <c r="S36" s="610"/>
      <c r="T36" s="500">
        <f>SUM(T37:T43)</f>
        <v>1467719</v>
      </c>
      <c r="U36" s="500">
        <f>SUM(U37:U43)</f>
        <v>2389377</v>
      </c>
      <c r="V36" s="602">
        <f t="shared" si="7"/>
        <v>921658</v>
      </c>
      <c r="W36" s="619">
        <f t="shared" si="8"/>
        <v>0.62795262580916378</v>
      </c>
      <c r="X36" s="610"/>
    </row>
    <row r="37" spans="1:24" ht="152.25" customHeight="1" x14ac:dyDescent="0.2">
      <c r="A37" s="598">
        <v>2310</v>
      </c>
      <c r="B37" s="599" t="s">
        <v>366</v>
      </c>
      <c r="C37" s="499">
        <v>1251146</v>
      </c>
      <c r="D37" s="499">
        <v>1466847</v>
      </c>
      <c r="E37" s="499">
        <f>1036731+253433</f>
        <v>1290164</v>
      </c>
      <c r="F37" s="501">
        <f>1152699-1131</f>
        <v>1151568</v>
      </c>
      <c r="G37" s="600">
        <f t="shared" si="17"/>
        <v>-138596</v>
      </c>
      <c r="H37" s="601">
        <f t="shared" si="2"/>
        <v>-0.10742510254510279</v>
      </c>
      <c r="I37" s="743" t="s">
        <v>367</v>
      </c>
      <c r="J37" s="499">
        <f>1081180+568398</f>
        <v>1649578</v>
      </c>
      <c r="K37" s="501">
        <f>1103438-1940</f>
        <v>1101498</v>
      </c>
      <c r="L37" s="600">
        <f t="shared" si="19"/>
        <v>-548080</v>
      </c>
      <c r="M37" s="601">
        <f t="shared" si="4"/>
        <v>-0.33225467361955602</v>
      </c>
      <c r="N37" s="621" t="s">
        <v>368</v>
      </c>
      <c r="O37" s="499">
        <f>1173202+1095538-300000</f>
        <v>1968740</v>
      </c>
      <c r="P37" s="499">
        <v>960814</v>
      </c>
      <c r="Q37" s="600">
        <f t="shared" si="18"/>
        <v>-1007926</v>
      </c>
      <c r="R37" s="601">
        <f t="shared" si="6"/>
        <v>-0.51196501315562237</v>
      </c>
      <c r="S37" s="622" t="s">
        <v>369</v>
      </c>
      <c r="T37" s="499">
        <f>1251146+215701</f>
        <v>1466847</v>
      </c>
      <c r="U37" s="499">
        <v>2388437</v>
      </c>
      <c r="V37" s="600">
        <f t="shared" si="7"/>
        <v>921590</v>
      </c>
      <c r="W37" s="601">
        <f t="shared" si="8"/>
        <v>0.62827956835307297</v>
      </c>
      <c r="X37" s="623" t="s">
        <v>370</v>
      </c>
    </row>
    <row r="38" spans="1:24" ht="47.25" customHeight="1" x14ac:dyDescent="0.2">
      <c r="A38" s="598">
        <v>2320</v>
      </c>
      <c r="B38" s="599" t="s">
        <v>371</v>
      </c>
      <c r="C38" s="499"/>
      <c r="D38" s="499"/>
      <c r="E38" s="499"/>
      <c r="F38" s="499"/>
      <c r="G38" s="600">
        <f t="shared" si="17"/>
        <v>0</v>
      </c>
      <c r="H38" s="601" t="str">
        <f t="shared" si="2"/>
        <v>-</v>
      </c>
      <c r="I38" s="744"/>
      <c r="J38" s="499"/>
      <c r="K38" s="501"/>
      <c r="L38" s="600">
        <f t="shared" si="19"/>
        <v>0</v>
      </c>
      <c r="M38" s="601" t="str">
        <f t="shared" si="4"/>
        <v>-</v>
      </c>
      <c r="N38" s="624"/>
      <c r="O38" s="499"/>
      <c r="P38" s="499"/>
      <c r="Q38" s="600">
        <f t="shared" si="18"/>
        <v>0</v>
      </c>
      <c r="R38" s="601" t="str">
        <f t="shared" si="6"/>
        <v>-</v>
      </c>
      <c r="S38" s="620"/>
      <c r="T38" s="499"/>
      <c r="U38" s="499"/>
      <c r="V38" s="600">
        <f t="shared" si="7"/>
        <v>0</v>
      </c>
      <c r="W38" s="601" t="str">
        <f t="shared" si="8"/>
        <v>-</v>
      </c>
      <c r="X38" s="620"/>
    </row>
    <row r="39" spans="1:24" ht="31.5" customHeight="1" x14ac:dyDescent="0.2">
      <c r="A39" s="598">
        <v>2340</v>
      </c>
      <c r="B39" s="599" t="s">
        <v>372</v>
      </c>
      <c r="C39" s="499"/>
      <c r="D39" s="499"/>
      <c r="E39" s="499"/>
      <c r="F39" s="499"/>
      <c r="G39" s="600">
        <f t="shared" si="17"/>
        <v>0</v>
      </c>
      <c r="H39" s="601" t="str">
        <f t="shared" si="2"/>
        <v>-</v>
      </c>
      <c r="I39" s="744"/>
      <c r="J39" s="499"/>
      <c r="K39" s="501"/>
      <c r="L39" s="600">
        <f t="shared" si="19"/>
        <v>0</v>
      </c>
      <c r="M39" s="601" t="str">
        <f t="shared" si="4"/>
        <v>-</v>
      </c>
      <c r="N39" s="624"/>
      <c r="O39" s="499"/>
      <c r="P39" s="499"/>
      <c r="Q39" s="600">
        <f t="shared" si="18"/>
        <v>0</v>
      </c>
      <c r="R39" s="601" t="str">
        <f t="shared" si="6"/>
        <v>-</v>
      </c>
      <c r="S39" s="620"/>
      <c r="T39" s="499"/>
      <c r="U39" s="499"/>
      <c r="V39" s="600">
        <f t="shared" si="7"/>
        <v>0</v>
      </c>
      <c r="W39" s="601" t="str">
        <f t="shared" si="8"/>
        <v>-</v>
      </c>
      <c r="X39" s="620"/>
    </row>
    <row r="40" spans="1:24" x14ac:dyDescent="0.2">
      <c r="A40" s="598">
        <v>2360</v>
      </c>
      <c r="B40" s="599" t="s">
        <v>373</v>
      </c>
      <c r="C40" s="499"/>
      <c r="D40" s="499"/>
      <c r="E40" s="499"/>
      <c r="F40" s="499"/>
      <c r="G40" s="600">
        <f t="shared" si="17"/>
        <v>0</v>
      </c>
      <c r="H40" s="601" t="str">
        <f t="shared" si="2"/>
        <v>-</v>
      </c>
      <c r="I40" s="744"/>
      <c r="J40" s="499"/>
      <c r="K40" s="501"/>
      <c r="L40" s="600">
        <f t="shared" si="19"/>
        <v>0</v>
      </c>
      <c r="M40" s="601" t="str">
        <f t="shared" si="4"/>
        <v>-</v>
      </c>
      <c r="N40" s="624"/>
      <c r="O40" s="499"/>
      <c r="P40" s="499"/>
      <c r="Q40" s="600">
        <f t="shared" si="18"/>
        <v>0</v>
      </c>
      <c r="R40" s="601" t="str">
        <f t="shared" si="6"/>
        <v>-</v>
      </c>
      <c r="S40" s="620"/>
      <c r="T40" s="499"/>
      <c r="U40" s="499"/>
      <c r="V40" s="600">
        <f t="shared" si="7"/>
        <v>0</v>
      </c>
      <c r="W40" s="601" t="str">
        <f t="shared" si="8"/>
        <v>-</v>
      </c>
      <c r="X40" s="620"/>
    </row>
    <row r="41" spans="1:24" ht="31.5" customHeight="1" x14ac:dyDescent="0.2">
      <c r="A41" s="598">
        <v>2370</v>
      </c>
      <c r="B41" s="599" t="s">
        <v>374</v>
      </c>
      <c r="C41" s="499"/>
      <c r="D41" s="499"/>
      <c r="E41" s="499"/>
      <c r="F41" s="499"/>
      <c r="G41" s="600">
        <f t="shared" si="17"/>
        <v>0</v>
      </c>
      <c r="H41" s="601" t="str">
        <f t="shared" si="2"/>
        <v>-</v>
      </c>
      <c r="I41" s="744"/>
      <c r="J41" s="499"/>
      <c r="K41" s="501"/>
      <c r="L41" s="600">
        <f t="shared" si="19"/>
        <v>0</v>
      </c>
      <c r="M41" s="601" t="str">
        <f t="shared" si="4"/>
        <v>-</v>
      </c>
      <c r="N41" s="624"/>
      <c r="O41" s="499"/>
      <c r="P41" s="499"/>
      <c r="Q41" s="600">
        <f t="shared" si="18"/>
        <v>0</v>
      </c>
      <c r="R41" s="601" t="str">
        <f t="shared" si="6"/>
        <v>-</v>
      </c>
      <c r="S41" s="620"/>
      <c r="T41" s="499"/>
      <c r="U41" s="499"/>
      <c r="V41" s="600">
        <f t="shared" si="7"/>
        <v>0</v>
      </c>
      <c r="W41" s="601" t="str">
        <f t="shared" si="8"/>
        <v>-</v>
      </c>
      <c r="X41" s="620"/>
    </row>
    <row r="42" spans="1:24" x14ac:dyDescent="0.2">
      <c r="A42" s="598">
        <v>2380</v>
      </c>
      <c r="B42" s="599" t="s">
        <v>375</v>
      </c>
      <c r="C42" s="499"/>
      <c r="D42" s="499"/>
      <c r="E42" s="499"/>
      <c r="F42" s="499"/>
      <c r="G42" s="600">
        <f t="shared" si="17"/>
        <v>0</v>
      </c>
      <c r="H42" s="601" t="str">
        <f t="shared" si="2"/>
        <v>-</v>
      </c>
      <c r="I42" s="744"/>
      <c r="J42" s="499"/>
      <c r="K42" s="501"/>
      <c r="L42" s="600">
        <f t="shared" si="19"/>
        <v>0</v>
      </c>
      <c r="M42" s="601" t="str">
        <f t="shared" si="4"/>
        <v>-</v>
      </c>
      <c r="N42" s="624"/>
      <c r="O42" s="499"/>
      <c r="P42" s="499"/>
      <c r="Q42" s="600">
        <f t="shared" si="18"/>
        <v>0</v>
      </c>
      <c r="R42" s="601" t="str">
        <f t="shared" si="6"/>
        <v>-</v>
      </c>
      <c r="S42" s="620"/>
      <c r="T42" s="499"/>
      <c r="U42" s="499"/>
      <c r="V42" s="600">
        <f t="shared" si="7"/>
        <v>0</v>
      </c>
      <c r="W42" s="601" t="str">
        <f t="shared" si="8"/>
        <v>-</v>
      </c>
      <c r="X42" s="620"/>
    </row>
    <row r="43" spans="1:24" x14ac:dyDescent="0.2">
      <c r="A43" s="598">
        <v>2390</v>
      </c>
      <c r="B43" s="599" t="s">
        <v>376</v>
      </c>
      <c r="C43" s="499">
        <v>872</v>
      </c>
      <c r="D43" s="499">
        <v>872</v>
      </c>
      <c r="E43" s="499">
        <v>872</v>
      </c>
      <c r="F43" s="499">
        <v>1612</v>
      </c>
      <c r="G43" s="600">
        <f t="shared" si="17"/>
        <v>740</v>
      </c>
      <c r="H43" s="601">
        <f t="shared" si="2"/>
        <v>0.84862385321100919</v>
      </c>
      <c r="I43" s="745"/>
      <c r="J43" s="499">
        <v>872</v>
      </c>
      <c r="K43" s="501">
        <v>872</v>
      </c>
      <c r="L43" s="600">
        <f t="shared" si="19"/>
        <v>0</v>
      </c>
      <c r="M43" s="601">
        <f t="shared" si="4"/>
        <v>0</v>
      </c>
      <c r="N43" s="624"/>
      <c r="O43" s="499">
        <v>872</v>
      </c>
      <c r="P43" s="499">
        <v>872</v>
      </c>
      <c r="Q43" s="600">
        <f t="shared" si="18"/>
        <v>0</v>
      </c>
      <c r="R43" s="601">
        <f t="shared" si="6"/>
        <v>0</v>
      </c>
      <c r="S43" s="620"/>
      <c r="T43" s="499">
        <v>872</v>
      </c>
      <c r="U43" s="499">
        <v>940</v>
      </c>
      <c r="V43" s="600">
        <f t="shared" si="7"/>
        <v>68</v>
      </c>
      <c r="W43" s="601">
        <f t="shared" si="8"/>
        <v>7.7981651376146793E-2</v>
      </c>
      <c r="X43" s="620"/>
    </row>
    <row r="44" spans="1:24" s="615" customFormat="1" ht="111" customHeight="1" x14ac:dyDescent="0.2">
      <c r="A44" s="594">
        <v>2400</v>
      </c>
      <c r="B44" s="595" t="s">
        <v>377</v>
      </c>
      <c r="C44" s="500">
        <v>21122</v>
      </c>
      <c r="D44" s="500">
        <v>19400</v>
      </c>
      <c r="E44" s="500">
        <v>94000</v>
      </c>
      <c r="F44" s="500">
        <v>100374</v>
      </c>
      <c r="G44" s="625">
        <f t="shared" si="17"/>
        <v>6374</v>
      </c>
      <c r="H44" s="626">
        <f t="shared" si="2"/>
        <v>6.7808510638297875E-2</v>
      </c>
      <c r="I44" s="627"/>
      <c r="J44" s="500">
        <v>67000</v>
      </c>
      <c r="K44" s="500">
        <v>73652</v>
      </c>
      <c r="L44" s="625">
        <f t="shared" si="19"/>
        <v>6652</v>
      </c>
      <c r="M44" s="626">
        <f t="shared" si="4"/>
        <v>9.9283582089552236E-2</v>
      </c>
      <c r="N44" s="609"/>
      <c r="O44" s="500">
        <v>45000</v>
      </c>
      <c r="P44" s="500">
        <v>42909</v>
      </c>
      <c r="Q44" s="625"/>
      <c r="R44" s="626"/>
      <c r="S44" s="610"/>
      <c r="T44" s="500">
        <v>19400</v>
      </c>
      <c r="U44" s="500">
        <v>22753</v>
      </c>
      <c r="V44" s="625">
        <f t="shared" si="7"/>
        <v>3353</v>
      </c>
      <c r="W44" s="626">
        <f t="shared" si="8"/>
        <v>0.17283505154639175</v>
      </c>
      <c r="X44" s="623" t="s">
        <v>378</v>
      </c>
    </row>
    <row r="45" spans="1:24" s="615" customFormat="1" x14ac:dyDescent="0.2">
      <c r="A45" s="594">
        <v>2500</v>
      </c>
      <c r="B45" s="595" t="s">
        <v>379</v>
      </c>
      <c r="C45" s="500">
        <v>0</v>
      </c>
      <c r="D45" s="500">
        <v>0</v>
      </c>
      <c r="E45" s="500">
        <v>0</v>
      </c>
      <c r="F45" s="500">
        <v>0</v>
      </c>
      <c r="G45" s="625">
        <f t="shared" si="17"/>
        <v>0</v>
      </c>
      <c r="H45" s="626" t="str">
        <f t="shared" si="2"/>
        <v>-</v>
      </c>
      <c r="I45" s="620"/>
      <c r="J45" s="500">
        <v>0</v>
      </c>
      <c r="K45" s="500">
        <v>0</v>
      </c>
      <c r="L45" s="625">
        <f t="shared" si="19"/>
        <v>0</v>
      </c>
      <c r="M45" s="626" t="str">
        <f t="shared" si="4"/>
        <v>-</v>
      </c>
      <c r="N45" s="609"/>
      <c r="O45" s="500">
        <v>0</v>
      </c>
      <c r="P45" s="500"/>
      <c r="Q45" s="625"/>
      <c r="R45" s="626"/>
      <c r="S45" s="610"/>
      <c r="T45" s="500">
        <v>0</v>
      </c>
      <c r="U45" s="500"/>
      <c r="V45" s="625">
        <f t="shared" si="7"/>
        <v>0</v>
      </c>
      <c r="W45" s="626" t="str">
        <f t="shared" si="8"/>
        <v>-</v>
      </c>
      <c r="X45" s="610"/>
    </row>
    <row r="46" spans="1:24" s="615" customFormat="1" ht="189" x14ac:dyDescent="0.2">
      <c r="A46" s="594">
        <v>2600</v>
      </c>
      <c r="B46" s="595" t="s">
        <v>380</v>
      </c>
      <c r="C46" s="500">
        <v>341159</v>
      </c>
      <c r="D46" s="500">
        <v>7428</v>
      </c>
      <c r="E46" s="500">
        <v>10380</v>
      </c>
      <c r="F46" s="500">
        <v>805242</v>
      </c>
      <c r="G46" s="625">
        <f t="shared" si="17"/>
        <v>794862</v>
      </c>
      <c r="H46" s="626">
        <f t="shared" si="2"/>
        <v>76.576300578034676</v>
      </c>
      <c r="I46" s="628" t="s">
        <v>381</v>
      </c>
      <c r="J46" s="500">
        <v>16541</v>
      </c>
      <c r="K46" s="500">
        <v>707504</v>
      </c>
      <c r="L46" s="625">
        <f t="shared" si="19"/>
        <v>690963</v>
      </c>
      <c r="M46" s="626">
        <f t="shared" si="4"/>
        <v>41.772746508675411</v>
      </c>
      <c r="N46" s="621" t="s">
        <v>382</v>
      </c>
      <c r="O46" s="500">
        <v>53</v>
      </c>
      <c r="P46" s="500">
        <v>882905</v>
      </c>
      <c r="Q46" s="625"/>
      <c r="R46" s="626"/>
      <c r="S46" s="610"/>
      <c r="T46" s="500">
        <v>7428</v>
      </c>
      <c r="U46" s="500">
        <v>1217330</v>
      </c>
      <c r="V46" s="625">
        <f t="shared" si="7"/>
        <v>1209902</v>
      </c>
      <c r="W46" s="626">
        <f t="shared" si="8"/>
        <v>162.88395261173937</v>
      </c>
      <c r="X46" s="610"/>
    </row>
    <row r="47" spans="1:24" s="580" customFormat="1" x14ac:dyDescent="0.2">
      <c r="A47" s="581"/>
      <c r="B47" s="582" t="s">
        <v>383</v>
      </c>
      <c r="C47" s="448">
        <f>C25+C3</f>
        <v>14807747</v>
      </c>
      <c r="D47" s="448">
        <f>D3+D25</f>
        <v>14564343</v>
      </c>
      <c r="E47" s="448">
        <f>E3+E25</f>
        <v>14319987</v>
      </c>
      <c r="F47" s="448">
        <f>F25+F3</f>
        <v>15428419</v>
      </c>
      <c r="G47" s="583">
        <f t="shared" si="17"/>
        <v>1108432</v>
      </c>
      <c r="H47" s="584">
        <f t="shared" si="2"/>
        <v>7.7404539543227235E-2</v>
      </c>
      <c r="I47" s="585"/>
      <c r="J47" s="448">
        <f>J3+J25</f>
        <v>14560000</v>
      </c>
      <c r="K47" s="448">
        <f>K25+K3</f>
        <v>15160155</v>
      </c>
      <c r="L47" s="583">
        <f t="shared" si="19"/>
        <v>600155</v>
      </c>
      <c r="M47" s="584">
        <f t="shared" si="4"/>
        <v>4.1219436813186815E-2</v>
      </c>
      <c r="N47" s="586"/>
      <c r="O47" s="448">
        <f>O3+O25</f>
        <v>14888626</v>
      </c>
      <c r="P47" s="448">
        <f>P25+P3</f>
        <v>15042568</v>
      </c>
      <c r="Q47" s="583">
        <f t="shared" ref="Q47" si="23">P47-O47</f>
        <v>153942</v>
      </c>
      <c r="R47" s="584">
        <f t="shared" ref="R47" si="24">IFERROR(Q47/ABS(O47), "-")</f>
        <v>1.0339570622567858E-2</v>
      </c>
      <c r="S47" s="585"/>
      <c r="T47" s="448">
        <f>T3+T25</f>
        <v>14564343</v>
      </c>
      <c r="U47" s="448">
        <f>U25+U3</f>
        <v>18366669</v>
      </c>
      <c r="V47" s="583">
        <f t="shared" si="7"/>
        <v>3802326</v>
      </c>
      <c r="W47" s="584">
        <f t="shared" si="8"/>
        <v>0.26107089073636897</v>
      </c>
      <c r="X47" s="585"/>
    </row>
    <row r="48" spans="1:24" s="580" customFormat="1" ht="12" customHeight="1" x14ac:dyDescent="0.2">
      <c r="A48" s="592"/>
      <c r="B48" s="455"/>
      <c r="C48" s="455"/>
      <c r="D48" s="455"/>
      <c r="E48" s="455"/>
      <c r="F48" s="455"/>
      <c r="G48" s="590"/>
      <c r="H48" s="593"/>
      <c r="I48" s="455"/>
      <c r="J48" s="455"/>
      <c r="K48" s="455"/>
      <c r="L48" s="590"/>
      <c r="M48" s="593"/>
      <c r="N48" s="455"/>
      <c r="O48" s="455"/>
      <c r="P48" s="455"/>
      <c r="Q48" s="590"/>
      <c r="R48" s="593"/>
      <c r="S48" s="455"/>
      <c r="T48" s="455"/>
      <c r="U48" s="455"/>
      <c r="V48" s="590"/>
      <c r="W48" s="593"/>
      <c r="X48" s="455"/>
    </row>
    <row r="49" spans="1:24" s="611" customFormat="1" x14ac:dyDescent="0.2">
      <c r="A49" s="629">
        <v>3000</v>
      </c>
      <c r="B49" s="582" t="s">
        <v>384</v>
      </c>
      <c r="C49" s="448">
        <f>C50+C51+C52+C55</f>
        <v>5806259</v>
      </c>
      <c r="D49" s="448">
        <f>D50+D51+D52+D55</f>
        <v>5748489</v>
      </c>
      <c r="E49" s="448">
        <f>E50+E51+E52+E55</f>
        <v>5047715</v>
      </c>
      <c r="F49" s="448">
        <f>F50+F51+F52+F55</f>
        <v>5328312</v>
      </c>
      <c r="G49" s="583">
        <f>F49-E49</f>
        <v>280597</v>
      </c>
      <c r="H49" s="584">
        <f>IFERROR(G49/ABS(E49), "-")</f>
        <v>5.558891498430478E-2</v>
      </c>
      <c r="I49" s="630"/>
      <c r="J49" s="448">
        <f>J50+J51+J52+J55</f>
        <v>4723310</v>
      </c>
      <c r="K49" s="448">
        <f>K50+K51+K55</f>
        <v>5264456</v>
      </c>
      <c r="L49" s="583">
        <f>K49-J49</f>
        <v>541146</v>
      </c>
      <c r="M49" s="584">
        <f>IFERROR(L49/ABS(J49), "-")</f>
        <v>0.11456923216981311</v>
      </c>
      <c r="N49" s="631"/>
      <c r="O49" s="448">
        <f>O50+O51+O52+O55</f>
        <v>5134361</v>
      </c>
      <c r="P49" s="448">
        <f>P50+P51+P52+P55</f>
        <v>4969777</v>
      </c>
      <c r="Q49" s="583">
        <f>P49-O49</f>
        <v>-164584</v>
      </c>
      <c r="R49" s="584">
        <f>IFERROR(Q49/ABS(O49), "-")</f>
        <v>-3.2055400857088155E-2</v>
      </c>
      <c r="S49" s="630"/>
      <c r="T49" s="448">
        <f>T50+T51+T52+T55</f>
        <v>5748489</v>
      </c>
      <c r="U49" s="448">
        <f>U50+U51+U52+U55</f>
        <v>5231075</v>
      </c>
      <c r="V49" s="583">
        <f>U49-T49</f>
        <v>-517414</v>
      </c>
      <c r="W49" s="584">
        <f>IFERROR(V49/ABS(T49), "-")</f>
        <v>-9.0008696198253135E-2</v>
      </c>
      <c r="X49" s="630"/>
    </row>
    <row r="50" spans="1:24" s="615" customFormat="1" x14ac:dyDescent="0.2">
      <c r="A50" s="632">
        <v>3100</v>
      </c>
      <c r="B50" s="595" t="s">
        <v>385</v>
      </c>
      <c r="C50" s="500">
        <v>4044523</v>
      </c>
      <c r="D50" s="500">
        <v>4044523</v>
      </c>
      <c r="E50" s="500">
        <v>4044523</v>
      </c>
      <c r="F50" s="500">
        <v>4044523</v>
      </c>
      <c r="G50" s="625">
        <f t="shared" ref="G50:G80" si="25">F50-E50</f>
        <v>0</v>
      </c>
      <c r="H50" s="626">
        <f t="shared" ref="H50:H84" si="26">IFERROR(G50/ABS(E50), "-")</f>
        <v>0</v>
      </c>
      <c r="I50" s="633"/>
      <c r="J50" s="500">
        <v>4044523</v>
      </c>
      <c r="K50" s="500">
        <v>4044523</v>
      </c>
      <c r="L50" s="625">
        <f t="shared" ref="L50:L80" si="27">K50-J50</f>
        <v>0</v>
      </c>
      <c r="M50" s="626">
        <f t="shared" ref="M50:M80" si="28">IFERROR(L50/ABS(J50), "-")</f>
        <v>0</v>
      </c>
      <c r="N50" s="634"/>
      <c r="O50" s="500">
        <v>4044523</v>
      </c>
      <c r="P50" s="500">
        <v>4044523</v>
      </c>
      <c r="Q50" s="625">
        <f t="shared" ref="Q50:Q80" si="29">P50-O50</f>
        <v>0</v>
      </c>
      <c r="R50" s="626">
        <f t="shared" ref="R50:R80" si="30">IFERROR(Q50/ABS(O50), "-")</f>
        <v>0</v>
      </c>
      <c r="S50" s="635"/>
      <c r="T50" s="500">
        <v>4044523</v>
      </c>
      <c r="U50" s="500">
        <v>4044523</v>
      </c>
      <c r="V50" s="625">
        <f t="shared" ref="V50:V80" si="31">U50-T50</f>
        <v>0</v>
      </c>
      <c r="W50" s="626">
        <f t="shared" ref="W50:W80" si="32">IFERROR(V50/ABS(T50), "-")</f>
        <v>0</v>
      </c>
      <c r="X50" s="635"/>
    </row>
    <row r="51" spans="1:24" s="615" customFormat="1" ht="31.5" x14ac:dyDescent="0.2">
      <c r="A51" s="632">
        <v>3200</v>
      </c>
      <c r="B51" s="595" t="s">
        <v>386</v>
      </c>
      <c r="C51" s="500">
        <v>2082018</v>
      </c>
      <c r="D51" s="500">
        <v>2023178</v>
      </c>
      <c r="E51" s="500">
        <v>2082018</v>
      </c>
      <c r="F51" s="500">
        <v>2082018</v>
      </c>
      <c r="G51" s="625">
        <v>0</v>
      </c>
      <c r="H51" s="626">
        <f t="shared" si="26"/>
        <v>0</v>
      </c>
      <c r="I51" s="636"/>
      <c r="J51" s="500">
        <v>2082018</v>
      </c>
      <c r="K51" s="500">
        <v>2082018</v>
      </c>
      <c r="L51" s="625">
        <f t="shared" si="27"/>
        <v>0</v>
      </c>
      <c r="M51" s="626">
        <f t="shared" si="28"/>
        <v>0</v>
      </c>
      <c r="N51" s="637"/>
      <c r="O51" s="500">
        <v>2082018</v>
      </c>
      <c r="P51" s="500">
        <v>2082018</v>
      </c>
      <c r="Q51" s="625">
        <f t="shared" si="29"/>
        <v>0</v>
      </c>
      <c r="R51" s="626">
        <f t="shared" si="30"/>
        <v>0</v>
      </c>
      <c r="S51" s="638"/>
      <c r="T51" s="500">
        <v>2023178</v>
      </c>
      <c r="U51" s="500">
        <v>2023178</v>
      </c>
      <c r="V51" s="625">
        <f t="shared" si="31"/>
        <v>0</v>
      </c>
      <c r="W51" s="626">
        <f t="shared" si="32"/>
        <v>0</v>
      </c>
      <c r="X51" s="638"/>
    </row>
    <row r="52" spans="1:24" s="615" customFormat="1" x14ac:dyDescent="0.2">
      <c r="A52" s="632">
        <v>3300</v>
      </c>
      <c r="B52" s="639" t="s">
        <v>387</v>
      </c>
      <c r="C52" s="500">
        <f>C53+C54</f>
        <v>0</v>
      </c>
      <c r="D52" s="500">
        <f t="shared" ref="D52:F52" si="33">D53+D54</f>
        <v>0</v>
      </c>
      <c r="E52" s="500">
        <f t="shared" si="33"/>
        <v>0</v>
      </c>
      <c r="F52" s="500">
        <f t="shared" si="33"/>
        <v>0</v>
      </c>
      <c r="G52" s="625">
        <f t="shared" ref="G52:G54" si="34">F52-E52</f>
        <v>0</v>
      </c>
      <c r="H52" s="626" t="str">
        <f t="shared" si="26"/>
        <v>-</v>
      </c>
      <c r="I52" s="758"/>
      <c r="J52" s="500">
        <f>J53+J54</f>
        <v>0</v>
      </c>
      <c r="K52" s="500">
        <f t="shared" ref="K52" si="35">K53+K54</f>
        <v>0</v>
      </c>
      <c r="L52" s="625">
        <f t="shared" si="27"/>
        <v>0</v>
      </c>
      <c r="M52" s="626" t="str">
        <f t="shared" si="28"/>
        <v>-</v>
      </c>
      <c r="N52" s="765"/>
      <c r="O52" s="500">
        <f>O53+O54</f>
        <v>0</v>
      </c>
      <c r="P52" s="500">
        <f t="shared" ref="P52" si="36">P53+P54</f>
        <v>0</v>
      </c>
      <c r="Q52" s="625">
        <f t="shared" si="29"/>
        <v>0</v>
      </c>
      <c r="R52" s="626" t="str">
        <f t="shared" si="30"/>
        <v>-</v>
      </c>
      <c r="S52" s="758"/>
      <c r="T52" s="500">
        <f>T53+T54</f>
        <v>0</v>
      </c>
      <c r="U52" s="500">
        <f t="shared" ref="U52" si="37">U53+U54</f>
        <v>0</v>
      </c>
      <c r="V52" s="625">
        <f t="shared" si="31"/>
        <v>0</v>
      </c>
      <c r="W52" s="626" t="str">
        <f t="shared" si="32"/>
        <v>-</v>
      </c>
    </row>
    <row r="53" spans="1:24" ht="114" customHeight="1" x14ac:dyDescent="0.2">
      <c r="A53" s="598">
        <v>3320</v>
      </c>
      <c r="B53" s="640" t="s">
        <v>388</v>
      </c>
      <c r="C53" s="501"/>
      <c r="D53" s="501"/>
      <c r="E53" s="501"/>
      <c r="F53" s="501"/>
      <c r="G53" s="641">
        <f t="shared" si="34"/>
        <v>0</v>
      </c>
      <c r="H53" s="606" t="str">
        <f t="shared" si="26"/>
        <v>-</v>
      </c>
      <c r="I53" s="759"/>
      <c r="J53" s="501"/>
      <c r="K53" s="501"/>
      <c r="L53" s="641">
        <f t="shared" si="27"/>
        <v>0</v>
      </c>
      <c r="M53" s="606" t="str">
        <f t="shared" si="28"/>
        <v>-</v>
      </c>
      <c r="N53" s="766"/>
      <c r="O53" s="501"/>
      <c r="P53" s="501"/>
      <c r="Q53" s="641">
        <f t="shared" si="29"/>
        <v>0</v>
      </c>
      <c r="R53" s="606" t="str">
        <f t="shared" si="30"/>
        <v>-</v>
      </c>
      <c r="S53" s="759"/>
      <c r="T53" s="501"/>
      <c r="U53" s="501"/>
      <c r="V53" s="641">
        <f t="shared" si="31"/>
        <v>0</v>
      </c>
      <c r="W53" s="606" t="str">
        <f t="shared" si="32"/>
        <v>-</v>
      </c>
    </row>
    <row r="54" spans="1:24" x14ac:dyDescent="0.2">
      <c r="A54" s="598">
        <v>3360</v>
      </c>
      <c r="B54" s="640" t="s">
        <v>389</v>
      </c>
      <c r="C54" s="501"/>
      <c r="D54" s="501"/>
      <c r="E54" s="501"/>
      <c r="F54" s="501"/>
      <c r="G54" s="641">
        <f t="shared" si="34"/>
        <v>0</v>
      </c>
      <c r="H54" s="606" t="str">
        <f t="shared" si="26"/>
        <v>-</v>
      </c>
      <c r="I54" s="759"/>
      <c r="J54" s="501"/>
      <c r="K54" s="501"/>
      <c r="L54" s="641">
        <f t="shared" si="27"/>
        <v>0</v>
      </c>
      <c r="M54" s="606" t="str">
        <f t="shared" si="28"/>
        <v>-</v>
      </c>
      <c r="N54" s="766"/>
      <c r="O54" s="501"/>
      <c r="P54" s="501"/>
      <c r="Q54" s="641">
        <f t="shared" si="29"/>
        <v>0</v>
      </c>
      <c r="R54" s="606" t="str">
        <f t="shared" si="30"/>
        <v>-</v>
      </c>
      <c r="S54" s="759"/>
      <c r="T54" s="501"/>
      <c r="U54" s="501"/>
      <c r="V54" s="641">
        <f t="shared" si="31"/>
        <v>0</v>
      </c>
      <c r="W54" s="606" t="str">
        <f t="shared" si="32"/>
        <v>-</v>
      </c>
    </row>
    <row r="55" spans="1:24" s="580" customFormat="1" x14ac:dyDescent="0.2">
      <c r="A55" s="632">
        <v>3500</v>
      </c>
      <c r="B55" s="595" t="s">
        <v>390</v>
      </c>
      <c r="C55" s="447">
        <f>C56+C57</f>
        <v>-320282</v>
      </c>
      <c r="D55" s="447">
        <f t="shared" ref="D55:F55" si="38">D56+D57</f>
        <v>-319212</v>
      </c>
      <c r="E55" s="447">
        <f t="shared" si="38"/>
        <v>-1078826</v>
      </c>
      <c r="F55" s="447">
        <f t="shared" si="38"/>
        <v>-798229</v>
      </c>
      <c r="G55" s="642">
        <f t="shared" si="25"/>
        <v>280597</v>
      </c>
      <c r="H55" s="643">
        <f t="shared" si="26"/>
        <v>0.26009476968482403</v>
      </c>
      <c r="I55" s="772" t="s">
        <v>391</v>
      </c>
      <c r="J55" s="447">
        <f t="shared" ref="J55:K55" si="39">J56+J57</f>
        <v>-1403231</v>
      </c>
      <c r="K55" s="447">
        <f t="shared" si="39"/>
        <v>-862085</v>
      </c>
      <c r="L55" s="642">
        <f t="shared" si="27"/>
        <v>541146</v>
      </c>
      <c r="M55" s="643">
        <f t="shared" si="28"/>
        <v>0.38564284854026171</v>
      </c>
      <c r="N55" s="749" t="s">
        <v>392</v>
      </c>
      <c r="O55" s="447">
        <f t="shared" ref="O55" si="40">O56+O57</f>
        <v>-992180</v>
      </c>
      <c r="P55" s="447">
        <f>P56+P57</f>
        <v>-1156764</v>
      </c>
      <c r="Q55" s="642">
        <f t="shared" si="29"/>
        <v>-164584</v>
      </c>
      <c r="R55" s="643">
        <f t="shared" si="30"/>
        <v>-0.16588119091293918</v>
      </c>
      <c r="S55" s="749" t="s">
        <v>393</v>
      </c>
      <c r="T55" s="447">
        <f t="shared" ref="T55" si="41">T56+T57</f>
        <v>-319212</v>
      </c>
      <c r="U55" s="447">
        <f>U56+U57</f>
        <v>-836626</v>
      </c>
      <c r="V55" s="642">
        <f t="shared" si="31"/>
        <v>-517414</v>
      </c>
      <c r="W55" s="643">
        <f t="shared" si="32"/>
        <v>-1.620910241469619</v>
      </c>
      <c r="X55" s="760" t="s">
        <v>315</v>
      </c>
    </row>
    <row r="56" spans="1:24" ht="31.5" x14ac:dyDescent="0.2">
      <c r="A56" s="598">
        <v>3510</v>
      </c>
      <c r="B56" s="599" t="s">
        <v>394</v>
      </c>
      <c r="C56" s="501">
        <v>479725</v>
      </c>
      <c r="D56" s="501">
        <v>-320282</v>
      </c>
      <c r="E56" s="501">
        <v>-320282</v>
      </c>
      <c r="F56" s="501">
        <v>-283697</v>
      </c>
      <c r="G56" s="641">
        <f t="shared" si="25"/>
        <v>36585</v>
      </c>
      <c r="H56" s="606">
        <f t="shared" si="26"/>
        <v>0.11422746204906926</v>
      </c>
      <c r="I56" s="773"/>
      <c r="J56" s="501">
        <v>-320282</v>
      </c>
      <c r="K56" s="501">
        <v>-283697</v>
      </c>
      <c r="L56" s="641">
        <f t="shared" si="27"/>
        <v>36585</v>
      </c>
      <c r="M56" s="606">
        <f t="shared" si="28"/>
        <v>0.11422746204906926</v>
      </c>
      <c r="N56" s="750"/>
      <c r="O56" s="501">
        <v>-320282</v>
      </c>
      <c r="P56" s="501">
        <v>-283697</v>
      </c>
      <c r="Q56" s="641">
        <f t="shared" si="29"/>
        <v>36585</v>
      </c>
      <c r="R56" s="606">
        <f t="shared" si="30"/>
        <v>0.11422746204906926</v>
      </c>
      <c r="S56" s="750"/>
      <c r="T56" s="501">
        <v>-320282</v>
      </c>
      <c r="U56" s="501">
        <v>-283697</v>
      </c>
      <c r="V56" s="641">
        <f t="shared" si="31"/>
        <v>36585</v>
      </c>
      <c r="W56" s="606">
        <f t="shared" si="32"/>
        <v>0.11422746204906926</v>
      </c>
      <c r="X56" s="761"/>
    </row>
    <row r="57" spans="1:24" ht="153" customHeight="1" x14ac:dyDescent="0.2">
      <c r="A57" s="598">
        <v>3520</v>
      </c>
      <c r="B57" s="599" t="s">
        <v>395</v>
      </c>
      <c r="C57" s="501">
        <v>-800007</v>
      </c>
      <c r="D57" s="501">
        <v>1070</v>
      </c>
      <c r="E57" s="501">
        <v>-758544</v>
      </c>
      <c r="F57" s="501">
        <v>-514532</v>
      </c>
      <c r="G57" s="641">
        <f t="shared" si="25"/>
        <v>244012</v>
      </c>
      <c r="H57" s="606">
        <f t="shared" si="26"/>
        <v>0.32168470121706849</v>
      </c>
      <c r="I57" s="774"/>
      <c r="J57" s="501">
        <v>-1082949</v>
      </c>
      <c r="K57" s="501">
        <v>-578388</v>
      </c>
      <c r="L57" s="641">
        <f t="shared" si="27"/>
        <v>504561</v>
      </c>
      <c r="M57" s="606">
        <f t="shared" si="28"/>
        <v>0.46591390730311399</v>
      </c>
      <c r="N57" s="751"/>
      <c r="O57" s="501">
        <v>-671898</v>
      </c>
      <c r="P57" s="501">
        <v>-873067</v>
      </c>
      <c r="Q57" s="641">
        <f t="shared" si="29"/>
        <v>-201169</v>
      </c>
      <c r="R57" s="606">
        <f t="shared" si="30"/>
        <v>-0.29940407621394916</v>
      </c>
      <c r="S57" s="751"/>
      <c r="T57" s="501">
        <v>1070</v>
      </c>
      <c r="U57" s="501">
        <v>-552929</v>
      </c>
      <c r="V57" s="641">
        <f t="shared" si="31"/>
        <v>-553999</v>
      </c>
      <c r="W57" s="606">
        <f t="shared" si="32"/>
        <v>-517.75607476635514</v>
      </c>
      <c r="X57" s="761"/>
    </row>
    <row r="58" spans="1:24" x14ac:dyDescent="0.2">
      <c r="A58" s="629">
        <v>4000</v>
      </c>
      <c r="B58" s="582" t="s">
        <v>396</v>
      </c>
      <c r="C58" s="587">
        <v>201945</v>
      </c>
      <c r="D58" s="587">
        <v>220000</v>
      </c>
      <c r="E58" s="587">
        <v>201945</v>
      </c>
      <c r="F58" s="587">
        <v>242455</v>
      </c>
      <c r="G58" s="644">
        <f t="shared" si="25"/>
        <v>40510</v>
      </c>
      <c r="H58" s="645">
        <f t="shared" si="26"/>
        <v>0.20059917304216496</v>
      </c>
      <c r="I58" s="646"/>
      <c r="J58" s="587">
        <v>201945</v>
      </c>
      <c r="K58" s="587">
        <v>242455</v>
      </c>
      <c r="L58" s="644">
        <v>0</v>
      </c>
      <c r="M58" s="645">
        <f t="shared" si="28"/>
        <v>0</v>
      </c>
      <c r="N58" s="647"/>
      <c r="O58" s="587">
        <v>201945</v>
      </c>
      <c r="P58" s="587">
        <v>242455</v>
      </c>
      <c r="Q58" s="644">
        <v>0</v>
      </c>
      <c r="R58" s="645">
        <f t="shared" si="30"/>
        <v>0</v>
      </c>
      <c r="S58" s="646"/>
      <c r="T58" s="587">
        <v>220000</v>
      </c>
      <c r="U58" s="587">
        <v>267048</v>
      </c>
      <c r="V58" s="644">
        <v>0</v>
      </c>
      <c r="W58" s="645">
        <f t="shared" si="32"/>
        <v>0</v>
      </c>
      <c r="X58" s="646"/>
    </row>
    <row r="59" spans="1:24" s="580" customFormat="1" x14ac:dyDescent="0.2">
      <c r="A59" s="629">
        <v>5000</v>
      </c>
      <c r="B59" s="582" t="s">
        <v>397</v>
      </c>
      <c r="C59" s="448">
        <f>C60+C70</f>
        <v>8799543</v>
      </c>
      <c r="D59" s="448">
        <f>D60+D70</f>
        <v>8595854</v>
      </c>
      <c r="E59" s="448">
        <f>E60+E70</f>
        <v>9070327</v>
      </c>
      <c r="F59" s="448">
        <f>F60+F70</f>
        <v>9857652</v>
      </c>
      <c r="G59" s="583">
        <f t="shared" si="25"/>
        <v>787325</v>
      </c>
      <c r="H59" s="584">
        <f t="shared" si="26"/>
        <v>8.6802272950027043E-2</v>
      </c>
      <c r="I59" s="585"/>
      <c r="J59" s="448">
        <f>J60+J70</f>
        <v>9634745</v>
      </c>
      <c r="K59" s="448">
        <f>K60+K70</f>
        <v>9653244</v>
      </c>
      <c r="L59" s="583">
        <f t="shared" si="27"/>
        <v>18499</v>
      </c>
      <c r="M59" s="584">
        <f t="shared" si="28"/>
        <v>1.9200300578790617E-3</v>
      </c>
      <c r="N59" s="586"/>
      <c r="O59" s="448">
        <f>O60+O70</f>
        <v>9552320</v>
      </c>
      <c r="P59" s="448">
        <f>P60+P70</f>
        <v>9830336</v>
      </c>
      <c r="Q59" s="583">
        <f t="shared" si="29"/>
        <v>278016</v>
      </c>
      <c r="R59" s="584">
        <f t="shared" si="30"/>
        <v>2.9104552611302802E-2</v>
      </c>
      <c r="S59" s="585"/>
      <c r="T59" s="448">
        <f>T60+T70</f>
        <v>8595854</v>
      </c>
      <c r="U59" s="448">
        <f>U60+U70</f>
        <v>12868546</v>
      </c>
      <c r="V59" s="583">
        <f t="shared" si="31"/>
        <v>4272692</v>
      </c>
      <c r="W59" s="584">
        <f t="shared" si="32"/>
        <v>0.49706428238543837</v>
      </c>
      <c r="X59" s="585"/>
    </row>
    <row r="60" spans="1:24" s="580" customFormat="1" x14ac:dyDescent="0.2">
      <c r="A60" s="632">
        <v>5100</v>
      </c>
      <c r="B60" s="595" t="s">
        <v>398</v>
      </c>
      <c r="C60" s="447">
        <f>SUM(C61:C69)</f>
        <v>5471854</v>
      </c>
      <c r="D60" s="447">
        <f>SUM(D61:D69)</f>
        <v>5222903</v>
      </c>
      <c r="E60" s="447">
        <f>SUM(E61:E69)</f>
        <v>5471854</v>
      </c>
      <c r="F60" s="447">
        <f>SUM(F61:F69)</f>
        <v>5490931</v>
      </c>
      <c r="G60" s="596">
        <f t="shared" si="25"/>
        <v>19077</v>
      </c>
      <c r="H60" s="597">
        <f t="shared" si="26"/>
        <v>3.4863868809365162E-3</v>
      </c>
      <c r="I60" s="777" t="s">
        <v>399</v>
      </c>
      <c r="J60" s="447">
        <f>SUM(J61:J69)</f>
        <v>5471854</v>
      </c>
      <c r="K60" s="447">
        <f>SUM(K61:K69)</f>
        <v>5471853</v>
      </c>
      <c r="L60" s="596">
        <f t="shared" si="27"/>
        <v>-1</v>
      </c>
      <c r="M60" s="597">
        <f t="shared" si="28"/>
        <v>-1.8275341410790566E-7</v>
      </c>
      <c r="N60" s="765"/>
      <c r="O60" s="447">
        <f>SUM(O61:O69)</f>
        <v>5471854</v>
      </c>
      <c r="P60" s="447">
        <f>SUM(P61:P69)</f>
        <v>5471853</v>
      </c>
      <c r="Q60" s="596">
        <f t="shared" si="29"/>
        <v>-1</v>
      </c>
      <c r="R60" s="597">
        <f t="shared" si="30"/>
        <v>-1.8275341410790566E-7</v>
      </c>
      <c r="S60" s="758"/>
      <c r="T60" s="447">
        <f>SUM(T61:T69)</f>
        <v>5222903</v>
      </c>
      <c r="U60" s="447">
        <f>SUM(U61:U69)</f>
        <v>7091080</v>
      </c>
      <c r="V60" s="596">
        <f>U60-T60</f>
        <v>1868177</v>
      </c>
      <c r="W60" s="597">
        <f t="shared" si="32"/>
        <v>0.35768939227858532</v>
      </c>
      <c r="X60" s="760" t="s">
        <v>400</v>
      </c>
    </row>
    <row r="61" spans="1:24" x14ac:dyDescent="0.2">
      <c r="A61" s="598">
        <v>5110</v>
      </c>
      <c r="B61" s="599" t="s">
        <v>401</v>
      </c>
      <c r="C61" s="499"/>
      <c r="D61" s="501"/>
      <c r="E61" s="499"/>
      <c r="F61" s="499"/>
      <c r="G61" s="600">
        <f t="shared" si="25"/>
        <v>0</v>
      </c>
      <c r="H61" s="601" t="str">
        <f t="shared" si="26"/>
        <v>-</v>
      </c>
      <c r="I61" s="778"/>
      <c r="J61" s="499"/>
      <c r="K61" s="501"/>
      <c r="L61" s="600">
        <f t="shared" si="27"/>
        <v>0</v>
      </c>
      <c r="M61" s="601" t="str">
        <f t="shared" si="28"/>
        <v>-</v>
      </c>
      <c r="N61" s="766"/>
      <c r="O61" s="499"/>
      <c r="P61" s="499"/>
      <c r="Q61" s="600">
        <f t="shared" si="29"/>
        <v>0</v>
      </c>
      <c r="R61" s="601" t="str">
        <f t="shared" si="30"/>
        <v>-</v>
      </c>
      <c r="S61" s="759"/>
      <c r="T61" s="499"/>
      <c r="U61" s="499"/>
      <c r="V61" s="600">
        <f t="shared" si="31"/>
        <v>0</v>
      </c>
      <c r="W61" s="601" t="str">
        <f t="shared" si="32"/>
        <v>-</v>
      </c>
      <c r="X61" s="761"/>
    </row>
    <row r="62" spans="1:24" x14ac:dyDescent="0.2">
      <c r="A62" s="598">
        <v>5120</v>
      </c>
      <c r="B62" s="599" t="s">
        <v>402</v>
      </c>
      <c r="C62" s="499"/>
      <c r="D62" s="501"/>
      <c r="E62" s="499"/>
      <c r="F62" s="499"/>
      <c r="G62" s="600">
        <f t="shared" si="25"/>
        <v>0</v>
      </c>
      <c r="H62" s="601" t="str">
        <f t="shared" si="26"/>
        <v>-</v>
      </c>
      <c r="I62" s="778"/>
      <c r="J62" s="499"/>
      <c r="K62" s="501"/>
      <c r="L62" s="600">
        <f t="shared" si="27"/>
        <v>0</v>
      </c>
      <c r="M62" s="601" t="str">
        <f t="shared" si="28"/>
        <v>-</v>
      </c>
      <c r="N62" s="766"/>
      <c r="O62" s="499"/>
      <c r="P62" s="499"/>
      <c r="Q62" s="600">
        <f t="shared" si="29"/>
        <v>0</v>
      </c>
      <c r="R62" s="601" t="str">
        <f t="shared" si="30"/>
        <v>-</v>
      </c>
      <c r="S62" s="759"/>
      <c r="T62" s="499"/>
      <c r="U62" s="499"/>
      <c r="V62" s="600">
        <f t="shared" si="31"/>
        <v>0</v>
      </c>
      <c r="W62" s="601" t="str">
        <f t="shared" si="32"/>
        <v>-</v>
      </c>
      <c r="X62" s="761"/>
    </row>
    <row r="63" spans="1:24" x14ac:dyDescent="0.2">
      <c r="A63" s="598">
        <v>5130</v>
      </c>
      <c r="B63" s="599" t="s">
        <v>403</v>
      </c>
      <c r="C63" s="499"/>
      <c r="D63" s="501"/>
      <c r="E63" s="499"/>
      <c r="F63" s="499"/>
      <c r="G63" s="600">
        <f t="shared" si="25"/>
        <v>0</v>
      </c>
      <c r="H63" s="601" t="str">
        <f t="shared" si="26"/>
        <v>-</v>
      </c>
      <c r="I63" s="778"/>
      <c r="J63" s="499"/>
      <c r="K63" s="501"/>
      <c r="L63" s="600">
        <f t="shared" si="27"/>
        <v>0</v>
      </c>
      <c r="M63" s="601" t="str">
        <f t="shared" si="28"/>
        <v>-</v>
      </c>
      <c r="N63" s="766"/>
      <c r="O63" s="499"/>
      <c r="P63" s="499"/>
      <c r="Q63" s="600">
        <f t="shared" si="29"/>
        <v>0</v>
      </c>
      <c r="R63" s="601" t="str">
        <f t="shared" si="30"/>
        <v>-</v>
      </c>
      <c r="S63" s="759"/>
      <c r="T63" s="499"/>
      <c r="U63" s="499"/>
      <c r="V63" s="600">
        <f t="shared" si="31"/>
        <v>0</v>
      </c>
      <c r="W63" s="601" t="str">
        <f t="shared" si="32"/>
        <v>-</v>
      </c>
      <c r="X63" s="761"/>
    </row>
    <row r="64" spans="1:24" x14ac:dyDescent="0.2">
      <c r="A64" s="598">
        <v>5140</v>
      </c>
      <c r="B64" s="599" t="s">
        <v>404</v>
      </c>
      <c r="C64" s="499">
        <v>48640</v>
      </c>
      <c r="D64" s="501">
        <v>48640</v>
      </c>
      <c r="E64" s="499">
        <v>48640</v>
      </c>
      <c r="F64" s="499">
        <v>67717</v>
      </c>
      <c r="G64" s="600">
        <f t="shared" si="25"/>
        <v>19077</v>
      </c>
      <c r="H64" s="601">
        <f t="shared" si="26"/>
        <v>0.39220805921052632</v>
      </c>
      <c r="I64" s="778"/>
      <c r="J64" s="499">
        <v>48640</v>
      </c>
      <c r="K64" s="501">
        <v>48639</v>
      </c>
      <c r="L64" s="600">
        <f t="shared" si="27"/>
        <v>-1</v>
      </c>
      <c r="M64" s="601">
        <f t="shared" si="28"/>
        <v>-2.0559210526315789E-5</v>
      </c>
      <c r="N64" s="766"/>
      <c r="O64" s="499">
        <v>48640</v>
      </c>
      <c r="P64" s="499">
        <v>48639</v>
      </c>
      <c r="Q64" s="600">
        <f t="shared" si="29"/>
        <v>-1</v>
      </c>
      <c r="R64" s="601">
        <f t="shared" si="30"/>
        <v>-2.0559210526315789E-5</v>
      </c>
      <c r="S64" s="759"/>
      <c r="T64" s="501">
        <v>48640</v>
      </c>
      <c r="U64" s="499">
        <v>237225</v>
      </c>
      <c r="V64" s="600">
        <f t="shared" si="31"/>
        <v>188585</v>
      </c>
      <c r="W64" s="601">
        <f t="shared" si="32"/>
        <v>3.8771587171052633</v>
      </c>
      <c r="X64" s="761"/>
    </row>
    <row r="65" spans="1:24" ht="31.5" x14ac:dyDescent="0.2">
      <c r="A65" s="598">
        <v>5150</v>
      </c>
      <c r="B65" s="599" t="s">
        <v>405</v>
      </c>
      <c r="C65" s="499"/>
      <c r="D65" s="501"/>
      <c r="E65" s="499"/>
      <c r="F65" s="499"/>
      <c r="G65" s="600">
        <f t="shared" si="25"/>
        <v>0</v>
      </c>
      <c r="H65" s="601" t="str">
        <f t="shared" si="26"/>
        <v>-</v>
      </c>
      <c r="I65" s="778"/>
      <c r="J65" s="499"/>
      <c r="K65" s="501"/>
      <c r="L65" s="600">
        <f t="shared" si="27"/>
        <v>0</v>
      </c>
      <c r="M65" s="601" t="str">
        <f t="shared" si="28"/>
        <v>-</v>
      </c>
      <c r="N65" s="766"/>
      <c r="O65" s="499"/>
      <c r="P65" s="499"/>
      <c r="Q65" s="600">
        <f t="shared" si="29"/>
        <v>0</v>
      </c>
      <c r="R65" s="601" t="str">
        <f t="shared" si="30"/>
        <v>-</v>
      </c>
      <c r="S65" s="759"/>
      <c r="T65" s="499"/>
      <c r="U65" s="501"/>
      <c r="V65" s="600">
        <f t="shared" si="31"/>
        <v>0</v>
      </c>
      <c r="W65" s="601" t="str">
        <f t="shared" si="32"/>
        <v>-</v>
      </c>
      <c r="X65" s="761"/>
    </row>
    <row r="66" spans="1:24" x14ac:dyDescent="0.2">
      <c r="A66" s="598">
        <v>5160</v>
      </c>
      <c r="B66" s="599" t="s">
        <v>406</v>
      </c>
      <c r="C66" s="499"/>
      <c r="D66" s="501"/>
      <c r="E66" s="499"/>
      <c r="F66" s="499"/>
      <c r="G66" s="600">
        <f t="shared" si="25"/>
        <v>0</v>
      </c>
      <c r="H66" s="601" t="str">
        <f t="shared" si="26"/>
        <v>-</v>
      </c>
      <c r="I66" s="778"/>
      <c r="J66" s="499"/>
      <c r="K66" s="501"/>
      <c r="L66" s="600">
        <f t="shared" si="27"/>
        <v>0</v>
      </c>
      <c r="M66" s="601" t="str">
        <f t="shared" si="28"/>
        <v>-</v>
      </c>
      <c r="N66" s="766"/>
      <c r="O66" s="499"/>
      <c r="P66" s="499"/>
      <c r="Q66" s="600">
        <f t="shared" si="29"/>
        <v>0</v>
      </c>
      <c r="R66" s="601" t="str">
        <f t="shared" si="30"/>
        <v>-</v>
      </c>
      <c r="S66" s="759"/>
      <c r="T66" s="499"/>
      <c r="U66" s="501"/>
      <c r="V66" s="600">
        <f t="shared" si="31"/>
        <v>0</v>
      </c>
      <c r="W66" s="601" t="str">
        <f t="shared" si="32"/>
        <v>-</v>
      </c>
      <c r="X66" s="761"/>
    </row>
    <row r="67" spans="1:24" x14ac:dyDescent="0.2">
      <c r="A67" s="598">
        <v>5170</v>
      </c>
      <c r="B67" s="599" t="s">
        <v>407</v>
      </c>
      <c r="C67" s="499">
        <v>5423214</v>
      </c>
      <c r="D67" s="501">
        <f>5423214-248951</f>
        <v>5174263</v>
      </c>
      <c r="E67" s="499">
        <v>5423214</v>
      </c>
      <c r="F67" s="499">
        <v>5423214</v>
      </c>
      <c r="G67" s="600">
        <f t="shared" si="25"/>
        <v>0</v>
      </c>
      <c r="H67" s="601">
        <f t="shared" si="26"/>
        <v>0</v>
      </c>
      <c r="I67" s="778"/>
      <c r="J67" s="499">
        <v>5423214</v>
      </c>
      <c r="K67" s="501">
        <v>5423214</v>
      </c>
      <c r="L67" s="600">
        <f t="shared" si="27"/>
        <v>0</v>
      </c>
      <c r="M67" s="601">
        <f t="shared" si="28"/>
        <v>0</v>
      </c>
      <c r="N67" s="766"/>
      <c r="O67" s="499">
        <v>5423214</v>
      </c>
      <c r="P67" s="499">
        <v>5423214</v>
      </c>
      <c r="Q67" s="600">
        <f t="shared" si="29"/>
        <v>0</v>
      </c>
      <c r="R67" s="601">
        <f t="shared" si="30"/>
        <v>0</v>
      </c>
      <c r="S67" s="759"/>
      <c r="T67" s="499">
        <v>5174263</v>
      </c>
      <c r="U67" s="501">
        <v>6853855</v>
      </c>
      <c r="V67" s="600">
        <f t="shared" si="31"/>
        <v>1679592</v>
      </c>
      <c r="W67" s="601">
        <f t="shared" si="32"/>
        <v>0.32460506935963634</v>
      </c>
      <c r="X67" s="761"/>
    </row>
    <row r="68" spans="1:24" x14ac:dyDescent="0.2">
      <c r="A68" s="598">
        <v>5180</v>
      </c>
      <c r="B68" s="599" t="s">
        <v>408</v>
      </c>
      <c r="C68" s="499"/>
      <c r="D68" s="501"/>
      <c r="E68" s="499"/>
      <c r="F68" s="499"/>
      <c r="G68" s="600">
        <f t="shared" si="25"/>
        <v>0</v>
      </c>
      <c r="H68" s="601" t="str">
        <f t="shared" si="26"/>
        <v>-</v>
      </c>
      <c r="I68" s="778"/>
      <c r="J68" s="499"/>
      <c r="K68" s="501"/>
      <c r="L68" s="600">
        <f t="shared" si="27"/>
        <v>0</v>
      </c>
      <c r="M68" s="601" t="str">
        <f t="shared" si="28"/>
        <v>-</v>
      </c>
      <c r="N68" s="766"/>
      <c r="O68" s="499"/>
      <c r="P68" s="499"/>
      <c r="Q68" s="600">
        <f t="shared" si="29"/>
        <v>0</v>
      </c>
      <c r="R68" s="601" t="str">
        <f t="shared" si="30"/>
        <v>-</v>
      </c>
      <c r="S68" s="759"/>
      <c r="T68" s="499"/>
      <c r="U68" s="501"/>
      <c r="V68" s="600">
        <f t="shared" si="31"/>
        <v>0</v>
      </c>
      <c r="W68" s="601" t="str">
        <f t="shared" si="32"/>
        <v>-</v>
      </c>
      <c r="X68" s="761"/>
    </row>
    <row r="69" spans="1:24" x14ac:dyDescent="0.2">
      <c r="A69" s="598">
        <v>5190</v>
      </c>
      <c r="B69" s="599" t="s">
        <v>409</v>
      </c>
      <c r="C69" s="499"/>
      <c r="D69" s="501"/>
      <c r="E69" s="499"/>
      <c r="F69" s="499"/>
      <c r="G69" s="600">
        <f t="shared" si="25"/>
        <v>0</v>
      </c>
      <c r="H69" s="601" t="str">
        <f t="shared" si="26"/>
        <v>-</v>
      </c>
      <c r="I69" s="779"/>
      <c r="J69" s="499"/>
      <c r="K69" s="501"/>
      <c r="L69" s="600">
        <f t="shared" si="27"/>
        <v>0</v>
      </c>
      <c r="M69" s="601" t="str">
        <f t="shared" si="28"/>
        <v>-</v>
      </c>
      <c r="N69" s="767"/>
      <c r="O69" s="499"/>
      <c r="P69" s="499"/>
      <c r="Q69" s="600">
        <f t="shared" si="29"/>
        <v>0</v>
      </c>
      <c r="R69" s="601" t="str">
        <f t="shared" si="30"/>
        <v>-</v>
      </c>
      <c r="S69" s="768"/>
      <c r="T69" s="499"/>
      <c r="U69" s="501"/>
      <c r="V69" s="600">
        <f t="shared" si="31"/>
        <v>0</v>
      </c>
      <c r="W69" s="601" t="str">
        <f t="shared" si="32"/>
        <v>-</v>
      </c>
      <c r="X69" s="769"/>
    </row>
    <row r="70" spans="1:24" s="580" customFormat="1" x14ac:dyDescent="0.2">
      <c r="A70" s="632">
        <v>5200</v>
      </c>
      <c r="B70" s="595" t="s">
        <v>410</v>
      </c>
      <c r="C70" s="447">
        <f>SUM(C71:C79)</f>
        <v>3327689</v>
      </c>
      <c r="D70" s="447">
        <f>SUM(D71:D79)</f>
        <v>3372951</v>
      </c>
      <c r="E70" s="447">
        <f>SUM(E71:E79)</f>
        <v>3598473</v>
      </c>
      <c r="F70" s="447">
        <f>SUM(F71:F79)</f>
        <v>4366721</v>
      </c>
      <c r="G70" s="596">
        <f t="shared" si="25"/>
        <v>768248</v>
      </c>
      <c r="H70" s="597">
        <f t="shared" si="26"/>
        <v>0.21349277874253886</v>
      </c>
      <c r="I70" s="780" t="s">
        <v>411</v>
      </c>
      <c r="J70" s="447">
        <f>SUM(J71:J79)</f>
        <v>4162891</v>
      </c>
      <c r="K70" s="447">
        <f>SUM(K71:K79)</f>
        <v>4181391</v>
      </c>
      <c r="L70" s="596">
        <f t="shared" si="27"/>
        <v>18500</v>
      </c>
      <c r="M70" s="597">
        <f t="shared" si="28"/>
        <v>4.4440269995058724E-3</v>
      </c>
      <c r="N70" s="749" t="s">
        <v>412</v>
      </c>
      <c r="O70" s="447">
        <f>SUM(O71:O79)</f>
        <v>4080466</v>
      </c>
      <c r="P70" s="447">
        <f>SUM(P71:P79)</f>
        <v>4358483</v>
      </c>
      <c r="Q70" s="596">
        <f t="shared" si="29"/>
        <v>278017</v>
      </c>
      <c r="R70" s="597">
        <f t="shared" si="30"/>
        <v>6.8133639638217794E-2</v>
      </c>
      <c r="S70" s="749" t="s">
        <v>413</v>
      </c>
      <c r="T70" s="447">
        <f>SUM(T71:T79)</f>
        <v>3372951</v>
      </c>
      <c r="U70" s="447">
        <f>SUM(U71:U79)</f>
        <v>5777466</v>
      </c>
      <c r="V70" s="596">
        <f t="shared" si="31"/>
        <v>2404515</v>
      </c>
      <c r="W70" s="597">
        <f t="shared" si="32"/>
        <v>0.71288168728214552</v>
      </c>
      <c r="X70" s="760" t="s">
        <v>414</v>
      </c>
    </row>
    <row r="71" spans="1:24" x14ac:dyDescent="0.2">
      <c r="A71" s="598">
        <v>5210</v>
      </c>
      <c r="B71" s="599" t="s">
        <v>401</v>
      </c>
      <c r="C71" s="501"/>
      <c r="D71" s="501"/>
      <c r="E71" s="501"/>
      <c r="F71" s="501"/>
      <c r="G71" s="641">
        <f t="shared" si="25"/>
        <v>0</v>
      </c>
      <c r="H71" s="606" t="str">
        <f t="shared" si="26"/>
        <v>-</v>
      </c>
      <c r="I71" s="781"/>
      <c r="J71" s="501"/>
      <c r="K71" s="501"/>
      <c r="L71" s="641">
        <f t="shared" si="27"/>
        <v>0</v>
      </c>
      <c r="M71" s="606" t="str">
        <f t="shared" si="28"/>
        <v>-</v>
      </c>
      <c r="N71" s="750"/>
      <c r="O71" s="501"/>
      <c r="P71" s="501"/>
      <c r="Q71" s="641">
        <f t="shared" si="29"/>
        <v>0</v>
      </c>
      <c r="R71" s="606" t="str">
        <f t="shared" si="30"/>
        <v>-</v>
      </c>
      <c r="S71" s="786"/>
      <c r="T71" s="501"/>
      <c r="U71" s="501"/>
      <c r="V71" s="641">
        <f t="shared" si="31"/>
        <v>0</v>
      </c>
      <c r="W71" s="606" t="str">
        <f t="shared" si="32"/>
        <v>-</v>
      </c>
      <c r="X71" s="788"/>
    </row>
    <row r="72" spans="1:24" x14ac:dyDescent="0.2">
      <c r="A72" s="598">
        <v>5220</v>
      </c>
      <c r="B72" s="599" t="s">
        <v>402</v>
      </c>
      <c r="C72" s="501"/>
      <c r="D72" s="501"/>
      <c r="E72" s="501"/>
      <c r="F72" s="501"/>
      <c r="G72" s="641">
        <f t="shared" si="25"/>
        <v>0</v>
      </c>
      <c r="H72" s="606" t="str">
        <f t="shared" si="26"/>
        <v>-</v>
      </c>
      <c r="I72" s="781"/>
      <c r="J72" s="501"/>
      <c r="K72" s="501"/>
      <c r="L72" s="641">
        <f t="shared" si="27"/>
        <v>0</v>
      </c>
      <c r="M72" s="606" t="str">
        <f t="shared" si="28"/>
        <v>-</v>
      </c>
      <c r="N72" s="750"/>
      <c r="O72" s="501"/>
      <c r="P72" s="501"/>
      <c r="Q72" s="641">
        <f t="shared" si="29"/>
        <v>0</v>
      </c>
      <c r="R72" s="606" t="str">
        <f t="shared" si="30"/>
        <v>-</v>
      </c>
      <c r="S72" s="786"/>
      <c r="T72" s="501"/>
      <c r="U72" s="501"/>
      <c r="V72" s="641">
        <f t="shared" si="31"/>
        <v>0</v>
      </c>
      <c r="W72" s="606" t="str">
        <f t="shared" si="32"/>
        <v>-</v>
      </c>
      <c r="X72" s="788"/>
    </row>
    <row r="73" spans="1:24" x14ac:dyDescent="0.2">
      <c r="A73" s="598">
        <v>5230</v>
      </c>
      <c r="B73" s="599" t="s">
        <v>403</v>
      </c>
      <c r="C73" s="501">
        <v>16429</v>
      </c>
      <c r="D73" s="501">
        <v>17000</v>
      </c>
      <c r="E73" s="501">
        <v>19780</v>
      </c>
      <c r="F73" s="501">
        <v>10439</v>
      </c>
      <c r="G73" s="641">
        <f t="shared" si="25"/>
        <v>-9341</v>
      </c>
      <c r="H73" s="606">
        <f t="shared" si="26"/>
        <v>-0.47224469160768451</v>
      </c>
      <c r="I73" s="781"/>
      <c r="J73" s="501">
        <v>15662</v>
      </c>
      <c r="K73" s="501">
        <v>8894</v>
      </c>
      <c r="L73" s="641">
        <f t="shared" si="27"/>
        <v>-6768</v>
      </c>
      <c r="M73" s="606">
        <f t="shared" si="28"/>
        <v>-0.43212871919295109</v>
      </c>
      <c r="N73" s="750"/>
      <c r="O73" s="501">
        <v>75800</v>
      </c>
      <c r="P73" s="501">
        <v>10222</v>
      </c>
      <c r="Q73" s="641">
        <f t="shared" si="29"/>
        <v>-65578</v>
      </c>
      <c r="R73" s="606">
        <f t="shared" si="30"/>
        <v>-0.86514511873350919</v>
      </c>
      <c r="S73" s="786"/>
      <c r="T73" s="501">
        <v>17000</v>
      </c>
      <c r="U73" s="501">
        <v>660321</v>
      </c>
      <c r="V73" s="641">
        <f t="shared" si="31"/>
        <v>643321</v>
      </c>
      <c r="W73" s="606">
        <f t="shared" si="32"/>
        <v>37.842411764705879</v>
      </c>
      <c r="X73" s="788"/>
    </row>
    <row r="74" spans="1:24" x14ac:dyDescent="0.2">
      <c r="A74" s="598">
        <v>5240</v>
      </c>
      <c r="B74" s="599" t="s">
        <v>404</v>
      </c>
      <c r="C74" s="501">
        <v>1467482</v>
      </c>
      <c r="D74" s="501">
        <v>1500000</v>
      </c>
      <c r="E74" s="501">
        <v>1300000</v>
      </c>
      <c r="F74" s="501">
        <v>1860808</v>
      </c>
      <c r="G74" s="641">
        <f t="shared" si="25"/>
        <v>560808</v>
      </c>
      <c r="H74" s="606">
        <f t="shared" si="26"/>
        <v>0.43139076923076924</v>
      </c>
      <c r="I74" s="781"/>
      <c r="J74" s="501">
        <v>1850000</v>
      </c>
      <c r="K74" s="501">
        <v>1737707</v>
      </c>
      <c r="L74" s="641">
        <f t="shared" si="27"/>
        <v>-112293</v>
      </c>
      <c r="M74" s="606">
        <f t="shared" si="28"/>
        <v>-6.0698918918918918E-2</v>
      </c>
      <c r="N74" s="750"/>
      <c r="O74" s="501">
        <v>1786000</v>
      </c>
      <c r="P74" s="501">
        <v>1946822</v>
      </c>
      <c r="Q74" s="641">
        <f t="shared" si="29"/>
        <v>160822</v>
      </c>
      <c r="R74" s="606">
        <f t="shared" si="30"/>
        <v>9.0045912653975366E-2</v>
      </c>
      <c r="S74" s="786"/>
      <c r="T74" s="501">
        <v>1500000</v>
      </c>
      <c r="U74" s="501">
        <v>2097264</v>
      </c>
      <c r="V74" s="641">
        <f t="shared" si="31"/>
        <v>597264</v>
      </c>
      <c r="W74" s="606">
        <f t="shared" si="32"/>
        <v>0.39817599999999997</v>
      </c>
      <c r="X74" s="788"/>
    </row>
    <row r="75" spans="1:24" ht="31.5" x14ac:dyDescent="0.2">
      <c r="A75" s="598">
        <v>5250</v>
      </c>
      <c r="B75" s="599" t="s">
        <v>405</v>
      </c>
      <c r="C75" s="501">
        <v>593722</v>
      </c>
      <c r="D75" s="501">
        <v>595000</v>
      </c>
      <c r="E75" s="501">
        <v>537900</v>
      </c>
      <c r="F75" s="501">
        <v>618328</v>
      </c>
      <c r="G75" s="641">
        <f t="shared" si="25"/>
        <v>80428</v>
      </c>
      <c r="H75" s="606">
        <f t="shared" si="26"/>
        <v>0.14952221602528351</v>
      </c>
      <c r="I75" s="781"/>
      <c r="J75" s="501">
        <v>590000</v>
      </c>
      <c r="K75" s="501">
        <v>643934</v>
      </c>
      <c r="L75" s="641">
        <f t="shared" si="27"/>
        <v>53934</v>
      </c>
      <c r="M75" s="606">
        <f t="shared" si="28"/>
        <v>9.1413559322033905E-2</v>
      </c>
      <c r="N75" s="750"/>
      <c r="O75" s="501">
        <v>580000</v>
      </c>
      <c r="P75" s="501">
        <v>656180</v>
      </c>
      <c r="Q75" s="641">
        <f t="shared" si="29"/>
        <v>76180</v>
      </c>
      <c r="R75" s="606">
        <f t="shared" si="30"/>
        <v>0.13134482758620689</v>
      </c>
      <c r="S75" s="786"/>
      <c r="T75" s="501">
        <v>595000</v>
      </c>
      <c r="U75" s="501">
        <v>716701</v>
      </c>
      <c r="V75" s="641">
        <f t="shared" si="31"/>
        <v>121701</v>
      </c>
      <c r="W75" s="606">
        <f t="shared" si="32"/>
        <v>0.20453949579831932</v>
      </c>
      <c r="X75" s="788"/>
    </row>
    <row r="76" spans="1:24" x14ac:dyDescent="0.2">
      <c r="A76" s="598">
        <v>5260</v>
      </c>
      <c r="B76" s="599" t="s">
        <v>406</v>
      </c>
      <c r="C76" s="501">
        <v>67654</v>
      </c>
      <c r="D76" s="501">
        <v>89000</v>
      </c>
      <c r="E76" s="501">
        <v>680000</v>
      </c>
      <c r="F76" s="501">
        <v>804303</v>
      </c>
      <c r="G76" s="641">
        <f t="shared" si="25"/>
        <v>124303</v>
      </c>
      <c r="H76" s="606">
        <f t="shared" si="26"/>
        <v>0.18279852941176469</v>
      </c>
      <c r="I76" s="781"/>
      <c r="J76" s="501">
        <v>720000</v>
      </c>
      <c r="K76" s="501">
        <v>797718</v>
      </c>
      <c r="L76" s="641">
        <f t="shared" si="27"/>
        <v>77718</v>
      </c>
      <c r="M76" s="606">
        <f t="shared" si="28"/>
        <v>0.10794166666666667</v>
      </c>
      <c r="N76" s="750"/>
      <c r="O76" s="501">
        <v>725000</v>
      </c>
      <c r="P76" s="501">
        <v>825685</v>
      </c>
      <c r="Q76" s="641">
        <f t="shared" si="29"/>
        <v>100685</v>
      </c>
      <c r="R76" s="606">
        <f t="shared" si="30"/>
        <v>0.13887586206896552</v>
      </c>
      <c r="S76" s="786"/>
      <c r="T76" s="501">
        <v>89000</v>
      </c>
      <c r="U76" s="501">
        <v>873722</v>
      </c>
      <c r="V76" s="641">
        <f t="shared" si="31"/>
        <v>784722</v>
      </c>
      <c r="W76" s="606">
        <f t="shared" si="32"/>
        <v>8.8171011235955064</v>
      </c>
      <c r="X76" s="788"/>
    </row>
    <row r="77" spans="1:24" x14ac:dyDescent="0.2">
      <c r="A77" s="598">
        <v>5270</v>
      </c>
      <c r="B77" s="599" t="s">
        <v>407</v>
      </c>
      <c r="C77" s="501">
        <v>294255</v>
      </c>
      <c r="D77" s="501">
        <v>248951</v>
      </c>
      <c r="E77" s="501">
        <v>196170</v>
      </c>
      <c r="F77" s="501">
        <v>220692</v>
      </c>
      <c r="G77" s="641">
        <f t="shared" si="25"/>
        <v>24522</v>
      </c>
      <c r="H77" s="606">
        <f t="shared" si="26"/>
        <v>0.1250038232145588</v>
      </c>
      <c r="I77" s="781"/>
      <c r="J77" s="501">
        <v>122606</v>
      </c>
      <c r="K77" s="501">
        <v>147128</v>
      </c>
      <c r="L77" s="641">
        <f t="shared" si="27"/>
        <v>24522</v>
      </c>
      <c r="M77" s="606">
        <f t="shared" si="28"/>
        <v>0.20000652496615173</v>
      </c>
      <c r="N77" s="750"/>
      <c r="O77" s="501">
        <v>49043</v>
      </c>
      <c r="P77" s="501">
        <v>73564</v>
      </c>
      <c r="Q77" s="641">
        <f t="shared" si="29"/>
        <v>24521</v>
      </c>
      <c r="R77" s="606">
        <f t="shared" si="30"/>
        <v>0.49998980486511835</v>
      </c>
      <c r="S77" s="786"/>
      <c r="T77" s="501">
        <v>248951</v>
      </c>
      <c r="U77" s="501">
        <v>503554</v>
      </c>
      <c r="V77" s="641">
        <f t="shared" si="31"/>
        <v>254603</v>
      </c>
      <c r="W77" s="606">
        <f t="shared" si="32"/>
        <v>1.022703262891091</v>
      </c>
      <c r="X77" s="788"/>
    </row>
    <row r="78" spans="1:24" x14ac:dyDescent="0.2">
      <c r="A78" s="598">
        <v>5280</v>
      </c>
      <c r="B78" s="599" t="s">
        <v>408</v>
      </c>
      <c r="C78" s="501">
        <v>888147</v>
      </c>
      <c r="D78" s="501">
        <v>923000</v>
      </c>
      <c r="E78" s="501">
        <v>864623</v>
      </c>
      <c r="F78" s="501">
        <f>846009+6142</f>
        <v>852151</v>
      </c>
      <c r="G78" s="641">
        <f t="shared" si="25"/>
        <v>-12472</v>
      </c>
      <c r="H78" s="606">
        <f t="shared" si="26"/>
        <v>-1.4424783980995184E-2</v>
      </c>
      <c r="I78" s="781"/>
      <c r="J78" s="501">
        <v>864623</v>
      </c>
      <c r="K78" s="501">
        <v>846010</v>
      </c>
      <c r="L78" s="641">
        <f t="shared" si="27"/>
        <v>-18613</v>
      </c>
      <c r="M78" s="606">
        <f t="shared" si="28"/>
        <v>-2.1527301494408544E-2</v>
      </c>
      <c r="N78" s="750"/>
      <c r="O78" s="501">
        <v>864623</v>
      </c>
      <c r="P78" s="501">
        <v>846010</v>
      </c>
      <c r="Q78" s="641">
        <f t="shared" si="29"/>
        <v>-18613</v>
      </c>
      <c r="R78" s="606">
        <f t="shared" si="30"/>
        <v>-2.1527301494408544E-2</v>
      </c>
      <c r="S78" s="786"/>
      <c r="T78" s="501">
        <v>923000</v>
      </c>
      <c r="U78" s="501">
        <f>30194+895710</f>
        <v>925904</v>
      </c>
      <c r="V78" s="641">
        <f t="shared" si="31"/>
        <v>2904</v>
      </c>
      <c r="W78" s="606">
        <f t="shared" si="32"/>
        <v>3.1462621885157095E-3</v>
      </c>
      <c r="X78" s="788"/>
    </row>
    <row r="79" spans="1:24" ht="408" customHeight="1" x14ac:dyDescent="0.2">
      <c r="A79" s="598">
        <v>5290</v>
      </c>
      <c r="B79" s="599" t="s">
        <v>409</v>
      </c>
      <c r="C79" s="501"/>
      <c r="D79" s="501"/>
      <c r="E79" s="501"/>
      <c r="F79" s="501"/>
      <c r="G79" s="641">
        <f t="shared" si="25"/>
        <v>0</v>
      </c>
      <c r="H79" s="606" t="str">
        <f t="shared" si="26"/>
        <v>-</v>
      </c>
      <c r="I79" s="782"/>
      <c r="J79" s="501"/>
      <c r="K79" s="501"/>
      <c r="L79" s="641">
        <f t="shared" si="27"/>
        <v>0</v>
      </c>
      <c r="M79" s="606" t="str">
        <f t="shared" si="28"/>
        <v>-</v>
      </c>
      <c r="N79" s="751"/>
      <c r="O79" s="501"/>
      <c r="P79" s="501"/>
      <c r="Q79" s="641">
        <f t="shared" si="29"/>
        <v>0</v>
      </c>
      <c r="R79" s="606" t="str">
        <f t="shared" si="30"/>
        <v>-</v>
      </c>
      <c r="S79" s="787"/>
      <c r="T79" s="501"/>
      <c r="U79" s="501"/>
      <c r="V79" s="641">
        <f t="shared" si="31"/>
        <v>0</v>
      </c>
      <c r="W79" s="606" t="str">
        <f t="shared" si="32"/>
        <v>-</v>
      </c>
      <c r="X79" s="789"/>
    </row>
    <row r="80" spans="1:24" s="580" customFormat="1" x14ac:dyDescent="0.2">
      <c r="A80" s="581"/>
      <c r="B80" s="582" t="s">
        <v>415</v>
      </c>
      <c r="C80" s="448">
        <f>C59+C58+C49</f>
        <v>14807747</v>
      </c>
      <c r="D80" s="448">
        <f>D59+D58+D49</f>
        <v>14564343</v>
      </c>
      <c r="E80" s="448">
        <f>E59+E58+E49</f>
        <v>14319987</v>
      </c>
      <c r="F80" s="448">
        <f>F59+F58+F49</f>
        <v>15428419</v>
      </c>
      <c r="G80" s="583">
        <f t="shared" si="25"/>
        <v>1108432</v>
      </c>
      <c r="H80" s="584">
        <f t="shared" si="26"/>
        <v>7.7404539543227235E-2</v>
      </c>
      <c r="I80" s="585"/>
      <c r="J80" s="448">
        <f>J59+J58+J49</f>
        <v>14560000</v>
      </c>
      <c r="K80" s="448">
        <f>K59+K58+K49</f>
        <v>15160155</v>
      </c>
      <c r="L80" s="583">
        <f t="shared" si="27"/>
        <v>600155</v>
      </c>
      <c r="M80" s="584">
        <f t="shared" si="28"/>
        <v>4.1219436813186815E-2</v>
      </c>
      <c r="N80" s="586"/>
      <c r="O80" s="448">
        <f>O59+O58+O49</f>
        <v>14888626</v>
      </c>
      <c r="P80" s="448">
        <f>P59+P58+P49</f>
        <v>15042568</v>
      </c>
      <c r="Q80" s="583">
        <f t="shared" si="29"/>
        <v>153942</v>
      </c>
      <c r="R80" s="584">
        <f t="shared" si="30"/>
        <v>1.0339570622567858E-2</v>
      </c>
      <c r="S80" s="585"/>
      <c r="T80" s="448">
        <f>T59+T58+T49</f>
        <v>14564343</v>
      </c>
      <c r="U80" s="448">
        <f>U59+U58+U49</f>
        <v>18366669</v>
      </c>
      <c r="V80" s="583">
        <f t="shared" si="31"/>
        <v>3802326</v>
      </c>
      <c r="W80" s="584">
        <f t="shared" si="32"/>
        <v>0.26107089073636897</v>
      </c>
      <c r="X80" s="585"/>
    </row>
    <row r="81" spans="1:24" x14ac:dyDescent="0.2">
      <c r="A81" s="775"/>
      <c r="B81" s="776"/>
      <c r="C81" s="776"/>
      <c r="D81" s="776"/>
      <c r="E81" s="776"/>
      <c r="F81" s="776"/>
      <c r="G81" s="776"/>
      <c r="H81" s="776"/>
      <c r="I81" s="776"/>
      <c r="L81" s="502"/>
      <c r="M81" s="502"/>
      <c r="Q81" s="502"/>
      <c r="R81" s="502"/>
      <c r="V81" s="502"/>
      <c r="W81" s="502"/>
    </row>
    <row r="82" spans="1:24" s="580" customFormat="1" x14ac:dyDescent="0.2">
      <c r="A82" s="648" t="s">
        <v>416</v>
      </c>
      <c r="B82" s="649" t="s">
        <v>417</v>
      </c>
      <c r="C82" s="503">
        <f>SUM(C83:C84)</f>
        <v>8799543</v>
      </c>
      <c r="D82" s="503">
        <f t="shared" ref="D82:F82" si="42">SUM(D83:D84)</f>
        <v>8595854</v>
      </c>
      <c r="E82" s="503">
        <f t="shared" si="42"/>
        <v>9070327</v>
      </c>
      <c r="F82" s="503">
        <f t="shared" si="42"/>
        <v>9857652</v>
      </c>
      <c r="G82" s="650">
        <f t="shared" ref="G82:G84" si="43">F82-E82</f>
        <v>787325</v>
      </c>
      <c r="H82" s="651">
        <f t="shared" si="26"/>
        <v>8.6802272950027043E-2</v>
      </c>
      <c r="I82" s="652"/>
      <c r="J82" s="503">
        <f t="shared" ref="J82:K82" si="44">SUM(J83:J84)</f>
        <v>9634745</v>
      </c>
      <c r="K82" s="448">
        <f t="shared" si="44"/>
        <v>9653244</v>
      </c>
      <c r="L82" s="650">
        <f t="shared" ref="L82:L84" si="45">K82-J82</f>
        <v>18499</v>
      </c>
      <c r="M82" s="651">
        <f t="shared" ref="M82:M84" si="46">IFERROR(L82/ABS(J82), "-")</f>
        <v>1.9200300578790617E-3</v>
      </c>
      <c r="N82" s="653"/>
      <c r="O82" s="503">
        <f t="shared" ref="O82:P82" si="47">SUM(O83:O84)</f>
        <v>9552320</v>
      </c>
      <c r="P82" s="503">
        <f t="shared" si="47"/>
        <v>9830336</v>
      </c>
      <c r="Q82" s="650">
        <f t="shared" ref="Q82:Q84" si="48">P82-O82</f>
        <v>278016</v>
      </c>
      <c r="R82" s="651">
        <f t="shared" ref="R82:R84" si="49">IFERROR(Q82/ABS(O82), "-")</f>
        <v>2.9104552611302802E-2</v>
      </c>
      <c r="S82" s="654"/>
      <c r="T82" s="503">
        <f t="shared" ref="T82:U82" si="50">SUM(T83:T84)</f>
        <v>8595854</v>
      </c>
      <c r="U82" s="503">
        <f t="shared" si="50"/>
        <v>12868546</v>
      </c>
      <c r="V82" s="650">
        <f t="shared" ref="V82:V84" si="51">U82-T82</f>
        <v>4272692</v>
      </c>
      <c r="W82" s="651">
        <f t="shared" ref="W82:W84" si="52">IFERROR(V82/ABS(T82), "-")</f>
        <v>0.49706428238543837</v>
      </c>
      <c r="X82" s="654"/>
    </row>
    <row r="83" spans="1:24" s="580" customFormat="1" x14ac:dyDescent="0.2">
      <c r="A83" s="632">
        <v>5100</v>
      </c>
      <c r="B83" s="655" t="s">
        <v>418</v>
      </c>
      <c r="C83" s="447">
        <f>C60</f>
        <v>5471854</v>
      </c>
      <c r="D83" s="447">
        <f>D60</f>
        <v>5222903</v>
      </c>
      <c r="E83" s="447">
        <f>E60</f>
        <v>5471854</v>
      </c>
      <c r="F83" s="447">
        <f>F60</f>
        <v>5490931</v>
      </c>
      <c r="G83" s="596">
        <f t="shared" si="43"/>
        <v>19077</v>
      </c>
      <c r="H83" s="597">
        <f t="shared" si="26"/>
        <v>3.4863868809365162E-3</v>
      </c>
      <c r="I83" s="652"/>
      <c r="J83" s="447">
        <f>J60</f>
        <v>5471854</v>
      </c>
      <c r="K83" s="447">
        <f>K60</f>
        <v>5471853</v>
      </c>
      <c r="L83" s="596">
        <f t="shared" si="45"/>
        <v>-1</v>
      </c>
      <c r="M83" s="597">
        <f t="shared" si="46"/>
        <v>-1.8275341410790566E-7</v>
      </c>
      <c r="N83" s="656"/>
      <c r="O83" s="447">
        <f>O60</f>
        <v>5471854</v>
      </c>
      <c r="P83" s="447">
        <f>P60</f>
        <v>5471853</v>
      </c>
      <c r="Q83" s="596">
        <f t="shared" si="48"/>
        <v>-1</v>
      </c>
      <c r="R83" s="597">
        <f t="shared" si="49"/>
        <v>-1.8275341410790566E-7</v>
      </c>
      <c r="S83" s="657"/>
      <c r="T83" s="447">
        <f>T60</f>
        <v>5222903</v>
      </c>
      <c r="U83" s="447">
        <f>U60</f>
        <v>7091080</v>
      </c>
      <c r="V83" s="596">
        <f t="shared" si="51"/>
        <v>1868177</v>
      </c>
      <c r="W83" s="597">
        <f t="shared" si="52"/>
        <v>0.35768939227858532</v>
      </c>
      <c r="X83" s="657"/>
    </row>
    <row r="84" spans="1:24" s="580" customFormat="1" x14ac:dyDescent="0.2">
      <c r="A84" s="632">
        <v>5200</v>
      </c>
      <c r="B84" s="658" t="s">
        <v>419</v>
      </c>
      <c r="C84" s="447">
        <f>C70</f>
        <v>3327689</v>
      </c>
      <c r="D84" s="447">
        <f t="shared" ref="D84:F84" si="53">D70</f>
        <v>3372951</v>
      </c>
      <c r="E84" s="447">
        <f t="shared" si="53"/>
        <v>3598473</v>
      </c>
      <c r="F84" s="447">
        <f t="shared" si="53"/>
        <v>4366721</v>
      </c>
      <c r="G84" s="596">
        <f t="shared" si="43"/>
        <v>768248</v>
      </c>
      <c r="H84" s="597">
        <f t="shared" si="26"/>
        <v>0.21349277874253886</v>
      </c>
      <c r="I84" s="652"/>
      <c r="J84" s="447">
        <f t="shared" ref="J84:K84" si="54">J70</f>
        <v>4162891</v>
      </c>
      <c r="K84" s="447">
        <f t="shared" si="54"/>
        <v>4181391</v>
      </c>
      <c r="L84" s="596">
        <f t="shared" si="45"/>
        <v>18500</v>
      </c>
      <c r="M84" s="597">
        <f t="shared" si="46"/>
        <v>4.4440269995058724E-3</v>
      </c>
      <c r="N84" s="656"/>
      <c r="O84" s="447">
        <f t="shared" ref="O84:P84" si="55">O70</f>
        <v>4080466</v>
      </c>
      <c r="P84" s="504">
        <f t="shared" si="55"/>
        <v>4358483</v>
      </c>
      <c r="Q84" s="596">
        <f t="shared" si="48"/>
        <v>278017</v>
      </c>
      <c r="R84" s="597">
        <f t="shared" si="49"/>
        <v>6.8133639638217794E-2</v>
      </c>
      <c r="S84" s="657"/>
      <c r="T84" s="447">
        <f t="shared" ref="T84:U84" si="56">T70</f>
        <v>3372951</v>
      </c>
      <c r="U84" s="447">
        <f t="shared" si="56"/>
        <v>5777466</v>
      </c>
      <c r="V84" s="596">
        <f t="shared" si="51"/>
        <v>2404515</v>
      </c>
      <c r="W84" s="597">
        <f t="shared" si="52"/>
        <v>0.71288168728214552</v>
      </c>
      <c r="X84" s="657"/>
    </row>
    <row r="85" spans="1:24" s="580" customFormat="1" x14ac:dyDescent="0.2">
      <c r="A85" s="659"/>
      <c r="B85" s="660"/>
      <c r="C85" s="661"/>
      <c r="D85" s="661"/>
      <c r="E85" s="661"/>
      <c r="F85" s="661"/>
      <c r="G85" s="662"/>
      <c r="H85" s="663"/>
      <c r="I85" s="664"/>
      <c r="J85" s="661"/>
      <c r="K85" s="661"/>
      <c r="L85" s="662"/>
      <c r="M85" s="663"/>
      <c r="N85" s="665"/>
      <c r="O85" s="661"/>
      <c r="P85" s="505"/>
      <c r="Q85" s="662"/>
      <c r="R85" s="663"/>
      <c r="S85" s="664"/>
      <c r="T85" s="661"/>
      <c r="U85" s="661"/>
      <c r="V85" s="662"/>
      <c r="W85" s="663"/>
      <c r="X85" s="664"/>
    </row>
    <row r="86" spans="1:24" ht="20.25" customHeight="1" x14ac:dyDescent="0.2">
      <c r="A86" s="771" t="s">
        <v>271</v>
      </c>
      <c r="B86" s="771"/>
      <c r="P86" s="506"/>
    </row>
    <row r="87" spans="1:24" ht="36.75" customHeight="1" x14ac:dyDescent="0.2">
      <c r="A87" s="770" t="s">
        <v>420</v>
      </c>
      <c r="B87" s="770"/>
      <c r="C87" s="770"/>
      <c r="D87" s="770"/>
      <c r="E87" s="770"/>
      <c r="F87" s="770"/>
      <c r="G87" s="770"/>
      <c r="H87" s="667"/>
      <c r="I87" s="667"/>
      <c r="J87" s="667"/>
      <c r="K87" s="667"/>
      <c r="L87" s="667"/>
      <c r="M87" s="667"/>
      <c r="N87" s="667"/>
      <c r="O87" s="667"/>
      <c r="P87" s="506"/>
    </row>
    <row r="88" spans="1:24" x14ac:dyDescent="0.2">
      <c r="P88" s="506"/>
    </row>
    <row r="89" spans="1:24" x14ac:dyDescent="0.2">
      <c r="P89" s="506"/>
    </row>
    <row r="90" spans="1:24" x14ac:dyDescent="0.2">
      <c r="P90" s="506"/>
    </row>
    <row r="91" spans="1:24" x14ac:dyDescent="0.2">
      <c r="P91" s="506"/>
    </row>
    <row r="92" spans="1:24" x14ac:dyDescent="0.2">
      <c r="P92" s="506"/>
    </row>
    <row r="93" spans="1:24" x14ac:dyDescent="0.2">
      <c r="P93" s="506"/>
    </row>
    <row r="94" spans="1:24" x14ac:dyDescent="0.2">
      <c r="P94" s="506"/>
    </row>
  </sheetData>
  <sheetProtection formatCells="0" formatColumns="0" formatRows="0"/>
  <mergeCells count="30">
    <mergeCell ref="S52:S54"/>
    <mergeCell ref="S55:S57"/>
    <mergeCell ref="S60:S69"/>
    <mergeCell ref="S70:S79"/>
    <mergeCell ref="X55:X57"/>
    <mergeCell ref="X60:X69"/>
    <mergeCell ref="X70:X79"/>
    <mergeCell ref="I4:I10"/>
    <mergeCell ref="N4:N10"/>
    <mergeCell ref="S4:S10"/>
    <mergeCell ref="X4:X10"/>
    <mergeCell ref="A87:G87"/>
    <mergeCell ref="A86:B86"/>
    <mergeCell ref="I55:I57"/>
    <mergeCell ref="I52:I54"/>
    <mergeCell ref="A81:I81"/>
    <mergeCell ref="I60:I69"/>
    <mergeCell ref="I70:I79"/>
    <mergeCell ref="N52:N54"/>
    <mergeCell ref="N55:N57"/>
    <mergeCell ref="N60:N69"/>
    <mergeCell ref="N70:N79"/>
    <mergeCell ref="S26:S35"/>
    <mergeCell ref="I37:I43"/>
    <mergeCell ref="I11:I25"/>
    <mergeCell ref="N26:N35"/>
    <mergeCell ref="I26:I35"/>
    <mergeCell ref="X26:X35"/>
    <mergeCell ref="S11:S20"/>
    <mergeCell ref="X11:X20"/>
  </mergeCells>
  <pageMargins left="0.23622047244094491" right="0.23622047244094491" top="0.55118110236220474" bottom="0.35433070866141736" header="0.31496062992125984" footer="0.31496062992125984"/>
  <pageSetup paperSize="9" fitToHeight="0" orientation="portrait" verticalDpi="90" r:id="rId1"/>
  <headerFooter>
    <oddHeader>&amp;C&amp;"Times New Roman,Bold"&amp;14Bilance&amp;R&amp;"Times New Roman,Regular"&amp;14 3.pielikums</oddHeader>
    <oddFooter>&amp;C&amp;"Times New Roman,Regular"&amp;12&amp;F&amp;R&amp;"Times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pageSetUpPr fitToPage="1"/>
  </sheetPr>
  <dimension ref="A1:AA67"/>
  <sheetViews>
    <sheetView view="pageBreakPreview" topLeftCell="A34" zoomScaleNormal="70" zoomScaleSheetLayoutView="100" zoomScalePageLayoutView="40" workbookViewId="0">
      <pane xSplit="1" topLeftCell="B1" activePane="topRight" state="frozen"/>
      <selection activeCell="A29" sqref="A29"/>
      <selection pane="topRight" activeCell="AA54" sqref="AA54"/>
    </sheetView>
  </sheetViews>
  <sheetFormatPr defaultColWidth="9.140625" defaultRowHeight="15.75" outlineLevelCol="1" x14ac:dyDescent="0.2"/>
  <cols>
    <col min="1" max="1" width="8.42578125" style="160" customWidth="1"/>
    <col min="2" max="2" width="52" style="31" customWidth="1"/>
    <col min="3" max="3" width="18.28515625" style="31" hidden="1" customWidth="1"/>
    <col min="4" max="4" width="20.85546875" style="161" hidden="1" customWidth="1"/>
    <col min="5" max="5" width="21.42578125" style="31" hidden="1" customWidth="1"/>
    <col min="6" max="6" width="20.85546875" style="31" hidden="1" customWidth="1" outlineLevel="1"/>
    <col min="7" max="7" width="22" style="42" hidden="1" customWidth="1" outlineLevel="1"/>
    <col min="8" max="8" width="21.5703125" style="42" hidden="1" customWidth="1" outlineLevel="1"/>
    <col min="9" max="9" width="37.28515625" style="31" hidden="1" customWidth="1" outlineLevel="1"/>
    <col min="10" max="10" width="21.42578125" style="31" hidden="1" customWidth="1" collapsed="1"/>
    <col min="11" max="11" width="20.85546875" style="31" hidden="1" customWidth="1" outlineLevel="1"/>
    <col min="12" max="12" width="20.85546875" style="42" hidden="1" customWidth="1" outlineLevel="1"/>
    <col min="13" max="13" width="21.5703125" style="42" hidden="1" customWidth="1" outlineLevel="1"/>
    <col min="14" max="14" width="37.28515625" style="31" hidden="1" customWidth="1" outlineLevel="1"/>
    <col min="15" max="15" width="21.42578125" style="31" hidden="1" customWidth="1" collapsed="1"/>
    <col min="16" max="16" width="20.85546875" style="31" hidden="1" customWidth="1" outlineLevel="1"/>
    <col min="17" max="17" width="21.42578125" style="42" hidden="1" customWidth="1" outlineLevel="1"/>
    <col min="18" max="18" width="21.5703125" style="42" hidden="1" customWidth="1" outlineLevel="1"/>
    <col min="19" max="19" width="37.28515625" style="31" hidden="1" customWidth="1" outlineLevel="1"/>
    <col min="20" max="20" width="21.42578125" style="31" customWidth="1" collapsed="1"/>
    <col min="21" max="21" width="17.140625" style="31" customWidth="1" outlineLevel="1"/>
    <col min="22" max="23" width="17.140625" style="42" customWidth="1" outlineLevel="1"/>
    <col min="24" max="24" width="30.7109375" style="31" customWidth="1" outlineLevel="1"/>
    <col min="25" max="16384" width="9.140625" style="31"/>
  </cols>
  <sheetData>
    <row r="1" spans="1:24" ht="78.75" x14ac:dyDescent="0.2">
      <c r="A1" s="22" t="s">
        <v>0</v>
      </c>
      <c r="B1" s="30" t="s">
        <v>278</v>
      </c>
      <c r="C1" s="23" t="s">
        <v>2</v>
      </c>
      <c r="D1" s="23" t="s">
        <v>421</v>
      </c>
      <c r="E1" s="23" t="s">
        <v>4</v>
      </c>
      <c r="F1" s="23" t="s">
        <v>5</v>
      </c>
      <c r="G1" s="24" t="s">
        <v>6</v>
      </c>
      <c r="H1" s="25" t="s">
        <v>7</v>
      </c>
      <c r="I1" s="23" t="s">
        <v>279</v>
      </c>
      <c r="J1" s="23" t="s">
        <v>9</v>
      </c>
      <c r="K1" s="23" t="s">
        <v>10</v>
      </c>
      <c r="L1" s="24" t="s">
        <v>6</v>
      </c>
      <c r="M1" s="25" t="s">
        <v>7</v>
      </c>
      <c r="N1" s="23" t="s">
        <v>279</v>
      </c>
      <c r="O1" s="23" t="s">
        <v>280</v>
      </c>
      <c r="P1" s="23" t="s">
        <v>281</v>
      </c>
      <c r="Q1" s="24" t="s">
        <v>6</v>
      </c>
      <c r="R1" s="25" t="s">
        <v>7</v>
      </c>
      <c r="S1" s="23" t="s">
        <v>279</v>
      </c>
      <c r="T1" s="23" t="s">
        <v>11</v>
      </c>
      <c r="U1" s="23" t="s">
        <v>282</v>
      </c>
      <c r="V1" s="24" t="s">
        <v>6</v>
      </c>
      <c r="W1" s="25" t="s">
        <v>7</v>
      </c>
      <c r="X1" s="23" t="s">
        <v>279</v>
      </c>
    </row>
    <row r="2" spans="1:24" ht="12" customHeight="1" x14ac:dyDescent="0.2">
      <c r="A2" s="32">
        <v>1</v>
      </c>
      <c r="B2" s="23">
        <v>2</v>
      </c>
      <c r="C2" s="32">
        <v>3</v>
      </c>
      <c r="D2" s="23">
        <v>4</v>
      </c>
      <c r="E2" s="32">
        <v>5</v>
      </c>
      <c r="F2" s="23">
        <v>6</v>
      </c>
      <c r="G2" s="32">
        <v>7</v>
      </c>
      <c r="H2" s="23">
        <v>8</v>
      </c>
      <c r="I2" s="32">
        <v>9</v>
      </c>
      <c r="J2" s="23">
        <v>10</v>
      </c>
      <c r="K2" s="32">
        <v>11</v>
      </c>
      <c r="L2" s="23">
        <v>12</v>
      </c>
      <c r="M2" s="32">
        <v>13</v>
      </c>
      <c r="N2" s="23">
        <v>14</v>
      </c>
      <c r="O2" s="32">
        <v>15</v>
      </c>
      <c r="P2" s="23">
        <v>16</v>
      </c>
      <c r="Q2" s="32">
        <v>17</v>
      </c>
      <c r="R2" s="23">
        <v>18</v>
      </c>
      <c r="S2" s="32">
        <v>19</v>
      </c>
      <c r="T2" s="23">
        <v>20</v>
      </c>
      <c r="U2" s="32">
        <v>21</v>
      </c>
      <c r="V2" s="23">
        <v>22</v>
      </c>
      <c r="W2" s="32">
        <v>23</v>
      </c>
      <c r="X2" s="23">
        <v>24</v>
      </c>
    </row>
    <row r="3" spans="1:24" ht="15.6" customHeight="1" x14ac:dyDescent="0.2">
      <c r="A3" s="89">
        <v>10000</v>
      </c>
      <c r="B3" s="40" t="s">
        <v>422</v>
      </c>
      <c r="C3" s="91">
        <v>327840</v>
      </c>
      <c r="D3" s="90">
        <v>341159.26999999559</v>
      </c>
      <c r="E3" s="90">
        <v>341159.26999999559</v>
      </c>
      <c r="F3" s="90">
        <v>341159.26999999559</v>
      </c>
      <c r="G3" s="92">
        <f>F3-E3</f>
        <v>0</v>
      </c>
      <c r="H3" s="28">
        <f>IFERROR(G3/ABS(E3), "-")</f>
        <v>0</v>
      </c>
      <c r="I3" s="291"/>
      <c r="J3" s="90">
        <v>341159.26999999559</v>
      </c>
      <c r="K3" s="90">
        <v>341159.26999999559</v>
      </c>
      <c r="L3" s="92">
        <f>K3-J3</f>
        <v>0</v>
      </c>
      <c r="M3" s="28">
        <f>IFERROR(L3/ABS(J3), "-")</f>
        <v>0</v>
      </c>
      <c r="N3" s="291"/>
      <c r="O3" s="90">
        <v>341159.26999999559</v>
      </c>
      <c r="P3" s="90">
        <v>341159.26999999559</v>
      </c>
      <c r="Q3" s="92">
        <f>P3-O3</f>
        <v>0</v>
      </c>
      <c r="R3" s="28">
        <f>IFERROR(Q3/ABS(O3), "-")</f>
        <v>0</v>
      </c>
      <c r="S3" s="291"/>
      <c r="T3" s="90">
        <v>341159.26999999559</v>
      </c>
      <c r="U3" s="90">
        <v>341159.26999999559</v>
      </c>
      <c r="V3" s="92">
        <f>U3-T3</f>
        <v>0</v>
      </c>
      <c r="W3" s="28">
        <f>IFERROR(V3/ABS(T3), "-")</f>
        <v>0</v>
      </c>
      <c r="X3" s="291"/>
    </row>
    <row r="4" spans="1:24" ht="15.6" customHeight="1" x14ac:dyDescent="0.2">
      <c r="A4" s="284" t="s">
        <v>423</v>
      </c>
      <c r="B4" s="795" t="s">
        <v>424</v>
      </c>
      <c r="C4" s="795"/>
      <c r="D4" s="795"/>
      <c r="E4" s="795"/>
      <c r="F4" s="795"/>
      <c r="G4" s="795"/>
      <c r="H4" s="285"/>
      <c r="I4" s="286"/>
      <c r="J4" s="287"/>
      <c r="K4" s="287"/>
      <c r="L4" s="287"/>
      <c r="M4" s="285"/>
      <c r="N4" s="286"/>
      <c r="O4" s="287"/>
      <c r="P4" s="287"/>
      <c r="Q4" s="287"/>
      <c r="R4" s="285"/>
      <c r="S4" s="286"/>
      <c r="T4" s="287"/>
      <c r="U4" s="287"/>
      <c r="V4" s="287"/>
      <c r="W4" s="285"/>
      <c r="X4" s="286"/>
    </row>
    <row r="5" spans="1:24" ht="15.6" customHeight="1" x14ac:dyDescent="0.2">
      <c r="A5" s="89">
        <v>11000</v>
      </c>
      <c r="B5" s="40" t="s">
        <v>425</v>
      </c>
      <c r="C5" s="90">
        <v>26970730.949999999</v>
      </c>
      <c r="D5" s="90">
        <f>D6+D11+D12+D13+D14+D15</f>
        <v>28725213</v>
      </c>
      <c r="E5" s="90">
        <f>E6+E11+E12+E13+E14+E15</f>
        <v>6591721</v>
      </c>
      <c r="F5" s="90">
        <f>F6+F11+F12+F13+F14+F15</f>
        <v>6892973.2800000012</v>
      </c>
      <c r="G5" s="93">
        <f t="shared" ref="G5:G19" si="0">F5-E5</f>
        <v>301252.28000000119</v>
      </c>
      <c r="H5" s="94">
        <f t="shared" ref="H5:H54" si="1">IFERROR(G5/ABS(E5), "-")</f>
        <v>4.5701612674444378E-2</v>
      </c>
      <c r="I5" s="289"/>
      <c r="J5" s="90">
        <f>J6+J11+J12+J13+J14+J15</f>
        <v>13261987</v>
      </c>
      <c r="K5" s="90">
        <f>K6+K11+K12+K13+K14+K15</f>
        <v>14302509.749999998</v>
      </c>
      <c r="L5" s="93">
        <f t="shared" ref="L5:L19" si="2">K5-J5</f>
        <v>1040522.7499999981</v>
      </c>
      <c r="M5" s="94">
        <f t="shared" ref="M5:M54" si="3">IFERROR(L5/ABS(J5), "-")</f>
        <v>7.8459038604094408E-2</v>
      </c>
      <c r="N5" s="289"/>
      <c r="O5" s="90">
        <f>O6+O11+O12+O13+O14+O15</f>
        <v>19216895</v>
      </c>
      <c r="P5" s="90">
        <f>P6+P11+P12+P13+P14+P15</f>
        <v>21795860.330000002</v>
      </c>
      <c r="Q5" s="93">
        <f t="shared" ref="Q5:Q19" si="4">P5-O5</f>
        <v>2578965.3300000019</v>
      </c>
      <c r="R5" s="94">
        <f t="shared" ref="R5:R54" si="5">IFERROR(Q5/ABS(O5), "-")</f>
        <v>0.13420301927028283</v>
      </c>
      <c r="S5" s="289"/>
      <c r="T5" s="90">
        <f>T6+T11+T12+T13+T14+T15</f>
        <v>28725213</v>
      </c>
      <c r="U5" s="90">
        <f>U6+U11+U12+U13+U14+U15</f>
        <v>29208883.369999997</v>
      </c>
      <c r="V5" s="93">
        <f t="shared" ref="V5:V19" si="6">U5-T5</f>
        <v>483670.36999999732</v>
      </c>
      <c r="W5" s="94">
        <f t="shared" ref="W5:W54" si="7">IFERROR(V5/ABS(T5), "-")</f>
        <v>1.6837834065843039E-2</v>
      </c>
      <c r="X5" s="289"/>
    </row>
    <row r="6" spans="1:24" ht="15.6" customHeight="1" x14ac:dyDescent="0.2">
      <c r="A6" s="43">
        <v>11100</v>
      </c>
      <c r="B6" s="44" t="s">
        <v>426</v>
      </c>
      <c r="C6" s="45">
        <f t="shared" ref="C6" si="8">C7+C8+C9+C10</f>
        <v>24316167.299999997</v>
      </c>
      <c r="D6" s="45">
        <f>D7+D8+D9+D10</f>
        <v>26160819</v>
      </c>
      <c r="E6" s="164">
        <f>E7+E8+E9+E10</f>
        <v>5894434</v>
      </c>
      <c r="F6" s="164">
        <f>F7+F8+F9+F10</f>
        <v>6236217.7300000004</v>
      </c>
      <c r="G6" s="46">
        <f t="shared" si="0"/>
        <v>341783.73000000045</v>
      </c>
      <c r="H6" s="47">
        <f t="shared" si="1"/>
        <v>5.7984147417716521E-2</v>
      </c>
      <c r="I6" s="48"/>
      <c r="J6" s="45">
        <f>J9+J7</f>
        <v>11936936</v>
      </c>
      <c r="K6" s="45">
        <f>K9+K7</f>
        <v>13001242.1</v>
      </c>
      <c r="L6" s="46">
        <f t="shared" si="2"/>
        <v>1064306.0999999996</v>
      </c>
      <c r="M6" s="47">
        <f t="shared" si="3"/>
        <v>8.9160744432239536E-2</v>
      </c>
      <c r="N6" s="48"/>
      <c r="O6" s="45">
        <f>O9+O7</f>
        <v>17264921</v>
      </c>
      <c r="P6" s="45">
        <f>P9+P7</f>
        <v>19869876.620000001</v>
      </c>
      <c r="Q6" s="46">
        <f t="shared" si="4"/>
        <v>2604955.620000001</v>
      </c>
      <c r="R6" s="47">
        <f t="shared" si="5"/>
        <v>0.15088140976723849</v>
      </c>
      <c r="S6" s="48"/>
      <c r="T6" s="45">
        <f>T7+T8+T9+T10</f>
        <v>26160819</v>
      </c>
      <c r="U6" s="45">
        <f>U7+U8+U9+U10</f>
        <v>26578734.949999999</v>
      </c>
      <c r="V6" s="46">
        <f t="shared" si="6"/>
        <v>417915.94999999925</v>
      </c>
      <c r="W6" s="47">
        <f t="shared" si="7"/>
        <v>1.5974880220684193E-2</v>
      </c>
      <c r="X6" s="48"/>
    </row>
    <row r="7" spans="1:24" s="154" customFormat="1" ht="66.75" customHeight="1" x14ac:dyDescent="0.2">
      <c r="A7" s="43">
        <v>11110</v>
      </c>
      <c r="B7" s="49" t="s">
        <v>18</v>
      </c>
      <c r="C7" s="45">
        <f>23300747.72</f>
        <v>23300747.719999999</v>
      </c>
      <c r="D7" s="45">
        <v>24897435</v>
      </c>
      <c r="E7" s="164">
        <v>5588457</v>
      </c>
      <c r="F7" s="164">
        <v>5929676.2400000002</v>
      </c>
      <c r="G7" s="46">
        <f t="shared" si="0"/>
        <v>341219.24000000022</v>
      </c>
      <c r="H7" s="47">
        <f t="shared" si="1"/>
        <v>6.1057862662269785E-2</v>
      </c>
      <c r="I7" s="50"/>
      <c r="J7" s="45">
        <v>11314872</v>
      </c>
      <c r="K7" s="164">
        <f>12449187.25</f>
        <v>12449187.25</v>
      </c>
      <c r="L7" s="46">
        <f t="shared" si="2"/>
        <v>1134315.25</v>
      </c>
      <c r="M7" s="47">
        <f t="shared" si="3"/>
        <v>0.10024994096265517</v>
      </c>
      <c r="N7" s="50"/>
      <c r="O7" s="45">
        <v>16318478</v>
      </c>
      <c r="P7" s="45">
        <v>18855477.82</v>
      </c>
      <c r="Q7" s="46">
        <f t="shared" si="4"/>
        <v>2536999.8200000003</v>
      </c>
      <c r="R7" s="47">
        <f t="shared" si="5"/>
        <v>0.15546791925080269</v>
      </c>
      <c r="S7" s="565" t="s">
        <v>19</v>
      </c>
      <c r="T7" s="45">
        <v>24897435</v>
      </c>
      <c r="U7" s="45">
        <v>25209597.199999999</v>
      </c>
      <c r="V7" s="46">
        <f t="shared" si="6"/>
        <v>312162.19999999925</v>
      </c>
      <c r="W7" s="47">
        <f t="shared" si="7"/>
        <v>1.2537926095599778E-2</v>
      </c>
      <c r="X7" s="50"/>
    </row>
    <row r="8" spans="1:24" s="155" customFormat="1" ht="15.6" customHeight="1" x14ac:dyDescent="0.2">
      <c r="A8" s="43">
        <v>11120</v>
      </c>
      <c r="B8" s="51" t="s">
        <v>29</v>
      </c>
      <c r="C8" s="45"/>
      <c r="D8" s="45"/>
      <c r="E8" s="164"/>
      <c r="F8" s="164"/>
      <c r="G8" s="46">
        <f t="shared" si="0"/>
        <v>0</v>
      </c>
      <c r="H8" s="47" t="str">
        <f t="shared" si="1"/>
        <v>-</v>
      </c>
      <c r="I8" s="50"/>
      <c r="J8" s="45"/>
      <c r="K8" s="164"/>
      <c r="L8" s="46">
        <f t="shared" si="2"/>
        <v>0</v>
      </c>
      <c r="M8" s="47" t="str">
        <f t="shared" si="3"/>
        <v>-</v>
      </c>
      <c r="N8" s="50"/>
      <c r="O8" s="45"/>
      <c r="P8" s="45"/>
      <c r="Q8" s="46">
        <f t="shared" si="4"/>
        <v>0</v>
      </c>
      <c r="R8" s="47" t="str">
        <f t="shared" si="5"/>
        <v>-</v>
      </c>
      <c r="S8" s="50"/>
      <c r="T8" s="45"/>
      <c r="U8" s="45"/>
      <c r="V8" s="46">
        <f t="shared" si="6"/>
        <v>0</v>
      </c>
      <c r="W8" s="47" t="str">
        <f t="shared" si="7"/>
        <v>-</v>
      </c>
      <c r="X8" s="50"/>
    </row>
    <row r="9" spans="1:24" s="155" customFormat="1" x14ac:dyDescent="0.2">
      <c r="A9" s="43">
        <v>11130</v>
      </c>
      <c r="B9" s="51" t="s">
        <v>427</v>
      </c>
      <c r="C9" s="45">
        <f>9046.44+1004516.36+1856.78</f>
        <v>1015419.58</v>
      </c>
      <c r="D9" s="45">
        <v>1263384</v>
      </c>
      <c r="E9" s="164">
        <v>305977</v>
      </c>
      <c r="F9" s="164">
        <f>305952.37+589.12</f>
        <v>306541.49</v>
      </c>
      <c r="G9" s="46">
        <f t="shared" si="0"/>
        <v>564.48999999999069</v>
      </c>
      <c r="H9" s="47">
        <f t="shared" si="1"/>
        <v>1.8448772293342005E-3</v>
      </c>
      <c r="I9" s="357"/>
      <c r="J9" s="45">
        <v>622064</v>
      </c>
      <c r="K9" s="164">
        <f>552054.85</f>
        <v>552054.85</v>
      </c>
      <c r="L9" s="46">
        <f t="shared" si="2"/>
        <v>-70009.150000000023</v>
      </c>
      <c r="M9" s="47">
        <f t="shared" si="3"/>
        <v>-0.11254332351655139</v>
      </c>
      <c r="N9" s="50"/>
      <c r="O9" s="45">
        <v>946443</v>
      </c>
      <c r="P9" s="45">
        <v>1014398.8</v>
      </c>
      <c r="Q9" s="46">
        <f t="shared" si="4"/>
        <v>67955.800000000047</v>
      </c>
      <c r="R9" s="47">
        <f t="shared" si="5"/>
        <v>7.1801260086450047E-2</v>
      </c>
      <c r="S9" s="50"/>
      <c r="T9" s="45">
        <v>1263384</v>
      </c>
      <c r="U9" s="45">
        <f>1368548.63+589.12</f>
        <v>1369137.75</v>
      </c>
      <c r="V9" s="46">
        <f t="shared" si="6"/>
        <v>105753.75</v>
      </c>
      <c r="W9" s="47">
        <f t="shared" si="7"/>
        <v>8.3706735244391248E-2</v>
      </c>
      <c r="X9" s="50"/>
    </row>
    <row r="10" spans="1:24" s="155" customFormat="1" x14ac:dyDescent="0.2">
      <c r="A10" s="43">
        <v>11140</v>
      </c>
      <c r="B10" s="51" t="s">
        <v>41</v>
      </c>
      <c r="C10" s="45"/>
      <c r="D10" s="45"/>
      <c r="E10" s="164"/>
      <c r="F10" s="164"/>
      <c r="G10" s="46">
        <f t="shared" si="0"/>
        <v>0</v>
      </c>
      <c r="H10" s="47" t="str">
        <f t="shared" si="1"/>
        <v>-</v>
      </c>
      <c r="I10" s="50"/>
      <c r="J10" s="45"/>
      <c r="K10" s="164"/>
      <c r="L10" s="46">
        <f t="shared" si="2"/>
        <v>0</v>
      </c>
      <c r="M10" s="47" t="str">
        <f t="shared" si="3"/>
        <v>-</v>
      </c>
      <c r="N10" s="50"/>
      <c r="O10" s="45"/>
      <c r="P10" s="45"/>
      <c r="Q10" s="46">
        <f t="shared" si="4"/>
        <v>0</v>
      </c>
      <c r="R10" s="47" t="str">
        <f t="shared" si="5"/>
        <v>-</v>
      </c>
      <c r="S10" s="50"/>
      <c r="T10" s="45"/>
      <c r="U10" s="45"/>
      <c r="V10" s="46">
        <f t="shared" si="6"/>
        <v>0</v>
      </c>
      <c r="W10" s="47" t="str">
        <f t="shared" si="7"/>
        <v>-</v>
      </c>
      <c r="X10" s="50"/>
    </row>
    <row r="11" spans="1:24" ht="15.6" customHeight="1" x14ac:dyDescent="0.2">
      <c r="A11" s="43">
        <v>11200</v>
      </c>
      <c r="B11" s="52" t="s">
        <v>47</v>
      </c>
      <c r="C11" s="53"/>
      <c r="D11" s="53"/>
      <c r="E11" s="355"/>
      <c r="F11" s="355"/>
      <c r="G11" s="54">
        <f t="shared" si="0"/>
        <v>0</v>
      </c>
      <c r="H11" s="55" t="str">
        <f t="shared" si="1"/>
        <v>-</v>
      </c>
      <c r="I11" s="56"/>
      <c r="J11" s="53"/>
      <c r="K11" s="355"/>
      <c r="L11" s="54">
        <f t="shared" si="2"/>
        <v>0</v>
      </c>
      <c r="M11" s="55" t="str">
        <f t="shared" si="3"/>
        <v>-</v>
      </c>
      <c r="N11" s="56"/>
      <c r="O11" s="53"/>
      <c r="P11" s="53"/>
      <c r="Q11" s="54">
        <f t="shared" si="4"/>
        <v>0</v>
      </c>
      <c r="R11" s="55" t="str">
        <f t="shared" si="5"/>
        <v>-</v>
      </c>
      <c r="S11" s="56"/>
      <c r="T11" s="53"/>
      <c r="U11" s="53"/>
      <c r="V11" s="54">
        <f t="shared" si="6"/>
        <v>0</v>
      </c>
      <c r="W11" s="55" t="str">
        <f t="shared" si="7"/>
        <v>-</v>
      </c>
      <c r="X11" s="56"/>
    </row>
    <row r="12" spans="1:24" ht="29.25" customHeight="1" x14ac:dyDescent="0.2">
      <c r="A12" s="43">
        <v>11300</v>
      </c>
      <c r="B12" s="57" t="s">
        <v>53</v>
      </c>
      <c r="C12" s="53">
        <f>8.27+1767321.79+61828.31+8.43+60.63+67.17</f>
        <v>1829294.5999999999</v>
      </c>
      <c r="D12" s="53">
        <v>1772777</v>
      </c>
      <c r="E12" s="355">
        <v>487985</v>
      </c>
      <c r="F12" s="355">
        <f>421328.17+24662.59+0.4+21.25</f>
        <v>446012.41000000003</v>
      </c>
      <c r="G12" s="54">
        <f t="shared" si="0"/>
        <v>-41972.589999999967</v>
      </c>
      <c r="H12" s="55">
        <f t="shared" si="1"/>
        <v>-8.6012049550703337E-2</v>
      </c>
      <c r="I12" s="56"/>
      <c r="J12" s="53">
        <v>932419</v>
      </c>
      <c r="K12" s="355">
        <f>844440.38+24662.59+7.4+45.88+7652.74</f>
        <v>876808.99</v>
      </c>
      <c r="L12" s="54">
        <f t="shared" si="2"/>
        <v>-55610.010000000009</v>
      </c>
      <c r="M12" s="55">
        <f t="shared" si="3"/>
        <v>-5.9640580039660294E-2</v>
      </c>
      <c r="N12" s="56"/>
      <c r="O12" s="53">
        <v>1360645</v>
      </c>
      <c r="P12" s="53">
        <f>1252228.8+41765.36+60.06+8.4+1323.83</f>
        <v>1295386.4500000002</v>
      </c>
      <c r="Q12" s="54">
        <f t="shared" si="4"/>
        <v>-65258.549999999814</v>
      </c>
      <c r="R12" s="55">
        <f t="shared" si="5"/>
        <v>-4.7961481503257512E-2</v>
      </c>
      <c r="S12" s="56"/>
      <c r="T12" s="53">
        <v>1772777</v>
      </c>
      <c r="U12" s="53">
        <f>1699269.67+80458.9+3501.24</f>
        <v>1783229.8099999998</v>
      </c>
      <c r="V12" s="54">
        <f t="shared" si="6"/>
        <v>10452.809999999823</v>
      </c>
      <c r="W12" s="55">
        <f t="shared" si="7"/>
        <v>5.8962915245402122E-3</v>
      </c>
      <c r="X12" s="56"/>
    </row>
    <row r="13" spans="1:24" ht="92.25" customHeight="1" x14ac:dyDescent="0.2">
      <c r="A13" s="43">
        <v>11400</v>
      </c>
      <c r="B13" s="15" t="s">
        <v>65</v>
      </c>
      <c r="C13" s="58">
        <v>383271.94</v>
      </c>
      <c r="D13" s="58">
        <v>306982</v>
      </c>
      <c r="E13" s="78">
        <v>83084</v>
      </c>
      <c r="F13" s="78">
        <v>102526.82</v>
      </c>
      <c r="G13" s="59">
        <f t="shared" si="0"/>
        <v>19442.820000000007</v>
      </c>
      <c r="H13" s="36">
        <f t="shared" si="1"/>
        <v>0.23401400991767377</v>
      </c>
      <c r="I13" s="426" t="s">
        <v>428</v>
      </c>
      <c r="J13" s="58">
        <v>150036</v>
      </c>
      <c r="K13" s="78">
        <v>201552.44</v>
      </c>
      <c r="L13" s="59">
        <f t="shared" si="2"/>
        <v>51516.44</v>
      </c>
      <c r="M13" s="36">
        <f t="shared" si="3"/>
        <v>0.34336052680689971</v>
      </c>
      <c r="N13" s="426" t="s">
        <v>428</v>
      </c>
      <c r="O13" s="58">
        <v>224335</v>
      </c>
      <c r="P13" s="58">
        <v>291689.12</v>
      </c>
      <c r="Q13" s="59">
        <f t="shared" si="4"/>
        <v>67354.12</v>
      </c>
      <c r="R13" s="36">
        <f t="shared" si="5"/>
        <v>0.30023901754073146</v>
      </c>
      <c r="S13" s="426" t="s">
        <v>428</v>
      </c>
      <c r="T13" s="58">
        <v>306982</v>
      </c>
      <c r="U13" s="58">
        <v>389445.63</v>
      </c>
      <c r="V13" s="59">
        <f t="shared" si="6"/>
        <v>82463.63</v>
      </c>
      <c r="W13" s="36">
        <f t="shared" si="7"/>
        <v>0.26862692275117112</v>
      </c>
      <c r="X13" s="426" t="s">
        <v>428</v>
      </c>
    </row>
    <row r="14" spans="1:24" x14ac:dyDescent="0.2">
      <c r="A14" s="43">
        <v>11500</v>
      </c>
      <c r="B14" s="15" t="s">
        <v>429</v>
      </c>
      <c r="C14" s="58">
        <f>300729.98+55</f>
        <v>300784.98</v>
      </c>
      <c r="D14" s="58">
        <v>323420</v>
      </c>
      <c r="E14" s="78">
        <v>81966</v>
      </c>
      <c r="F14" s="78">
        <v>71997.16</v>
      </c>
      <c r="G14" s="59">
        <f t="shared" si="0"/>
        <v>-9968.8399999999965</v>
      </c>
      <c r="H14" s="36">
        <f t="shared" si="1"/>
        <v>-0.12162164800039037</v>
      </c>
      <c r="I14" s="60"/>
      <c r="J14" s="58">
        <v>161485</v>
      </c>
      <c r="K14" s="78">
        <v>149844.37</v>
      </c>
      <c r="L14" s="59">
        <f t="shared" si="2"/>
        <v>-11640.630000000005</v>
      </c>
      <c r="M14" s="36">
        <f t="shared" si="3"/>
        <v>-7.2084899526271826E-2</v>
      </c>
      <c r="N14" s="60"/>
      <c r="O14" s="58">
        <v>248652</v>
      </c>
      <c r="P14" s="58">
        <v>231775.16</v>
      </c>
      <c r="Q14" s="59">
        <f t="shared" si="4"/>
        <v>-16876.839999999997</v>
      </c>
      <c r="R14" s="36">
        <f t="shared" si="5"/>
        <v>-6.7873333011598522E-2</v>
      </c>
      <c r="S14" s="60"/>
      <c r="T14" s="58">
        <v>323420</v>
      </c>
      <c r="U14" s="58">
        <v>315086.14</v>
      </c>
      <c r="V14" s="59">
        <f t="shared" si="6"/>
        <v>-8333.859999999986</v>
      </c>
      <c r="W14" s="36">
        <f t="shared" si="7"/>
        <v>-2.5767917877682227E-2</v>
      </c>
      <c r="X14" s="60"/>
    </row>
    <row r="15" spans="1:24" ht="31.5" x14ac:dyDescent="0.2">
      <c r="A15" s="43">
        <v>11600</v>
      </c>
      <c r="B15" s="61" t="s">
        <v>71</v>
      </c>
      <c r="C15" s="58">
        <v>141212.13</v>
      </c>
      <c r="D15" s="58">
        <v>161215</v>
      </c>
      <c r="E15" s="78">
        <v>44252</v>
      </c>
      <c r="F15" s="78">
        <v>36219.160000000003</v>
      </c>
      <c r="G15" s="59">
        <f t="shared" si="0"/>
        <v>-8032.8399999999965</v>
      </c>
      <c r="H15" s="36">
        <f t="shared" si="1"/>
        <v>-0.18152490282925057</v>
      </c>
      <c r="I15" s="426" t="s">
        <v>430</v>
      </c>
      <c r="J15" s="58">
        <v>81111</v>
      </c>
      <c r="K15" s="78">
        <v>73061.850000000006</v>
      </c>
      <c r="L15" s="59">
        <f t="shared" si="2"/>
        <v>-8049.1499999999942</v>
      </c>
      <c r="M15" s="36">
        <f t="shared" si="3"/>
        <v>-9.9236231830454491E-2</v>
      </c>
      <c r="N15" s="60"/>
      <c r="O15" s="58">
        <v>118342</v>
      </c>
      <c r="P15" s="58">
        <v>107132.98</v>
      </c>
      <c r="Q15" s="59">
        <f t="shared" si="4"/>
        <v>-11209.020000000004</v>
      </c>
      <c r="R15" s="36">
        <f t="shared" si="5"/>
        <v>-9.4717175643474039E-2</v>
      </c>
      <c r="S15" s="60"/>
      <c r="T15" s="58">
        <v>161215</v>
      </c>
      <c r="U15" s="58">
        <v>142386.84</v>
      </c>
      <c r="V15" s="59">
        <f t="shared" si="6"/>
        <v>-18828.160000000003</v>
      </c>
      <c r="W15" s="36">
        <f t="shared" si="7"/>
        <v>-0.11678913252488915</v>
      </c>
      <c r="X15" s="60"/>
    </row>
    <row r="16" spans="1:24" ht="15.6" customHeight="1" x14ac:dyDescent="0.2">
      <c r="A16" s="89">
        <v>12000</v>
      </c>
      <c r="B16" s="40" t="s">
        <v>431</v>
      </c>
      <c r="C16" s="91">
        <v>26418194.500000004</v>
      </c>
      <c r="D16" s="91">
        <f>D17+D18</f>
        <v>28231310</v>
      </c>
      <c r="E16" s="91">
        <f>E17+E18</f>
        <v>6922500</v>
      </c>
      <c r="F16" s="91">
        <f>F17+F18</f>
        <v>6310737.4700000007</v>
      </c>
      <c r="G16" s="92">
        <f t="shared" si="0"/>
        <v>-611762.52999999933</v>
      </c>
      <c r="H16" s="28">
        <f t="shared" si="1"/>
        <v>-8.8373063199710986E-2</v>
      </c>
      <c r="I16" s="291"/>
      <c r="J16" s="91">
        <f>J17+J18</f>
        <v>13586605</v>
      </c>
      <c r="K16" s="91">
        <f>K17+K18</f>
        <v>13629226.349999998</v>
      </c>
      <c r="L16" s="92">
        <f t="shared" si="2"/>
        <v>42621.349999997765</v>
      </c>
      <c r="M16" s="28">
        <f t="shared" si="3"/>
        <v>3.1370125207877734E-3</v>
      </c>
      <c r="N16" s="291"/>
      <c r="O16" s="91">
        <f>O17+O18</f>
        <v>19558001</v>
      </c>
      <c r="P16" s="91">
        <f>P17+P18</f>
        <v>20861862.52</v>
      </c>
      <c r="Q16" s="92">
        <f t="shared" si="4"/>
        <v>1303861.5199999996</v>
      </c>
      <c r="R16" s="28">
        <f t="shared" si="5"/>
        <v>6.6666400109090876E-2</v>
      </c>
      <c r="S16" s="291"/>
      <c r="T16" s="91">
        <f>T17+T18</f>
        <v>28231310</v>
      </c>
      <c r="U16" s="91">
        <f>U17+U18</f>
        <v>28358557.090000004</v>
      </c>
      <c r="V16" s="92">
        <f t="shared" si="6"/>
        <v>127247.09000000358</v>
      </c>
      <c r="W16" s="28">
        <f t="shared" si="7"/>
        <v>4.5073037701758639E-3</v>
      </c>
      <c r="X16" s="291"/>
    </row>
    <row r="17" spans="1:24" x14ac:dyDescent="0.2">
      <c r="A17" s="43">
        <v>12100</v>
      </c>
      <c r="B17" s="44" t="s">
        <v>432</v>
      </c>
      <c r="C17" s="53">
        <v>1985917.84</v>
      </c>
      <c r="D17" s="53">
        <v>2036458</v>
      </c>
      <c r="E17" s="355">
        <v>585863</v>
      </c>
      <c r="F17" s="355">
        <v>603208.02</v>
      </c>
      <c r="G17" s="54">
        <f t="shared" si="0"/>
        <v>17345.020000000019</v>
      </c>
      <c r="H17" s="55">
        <f t="shared" si="1"/>
        <v>2.9605931762203823E-2</v>
      </c>
      <c r="I17" s="356"/>
      <c r="J17" s="53">
        <f>1081483</f>
        <v>1081483</v>
      </c>
      <c r="K17" s="355">
        <v>1060944.93</v>
      </c>
      <c r="L17" s="54">
        <f t="shared" si="2"/>
        <v>-20538.070000000065</v>
      </c>
      <c r="M17" s="55">
        <f t="shared" si="3"/>
        <v>-1.8990654499423536E-2</v>
      </c>
      <c r="N17" s="62"/>
      <c r="O17" s="53">
        <v>1484196</v>
      </c>
      <c r="P17" s="53">
        <v>1508029.24</v>
      </c>
      <c r="Q17" s="54">
        <f t="shared" si="4"/>
        <v>23833.239999999991</v>
      </c>
      <c r="R17" s="55">
        <f t="shared" si="5"/>
        <v>1.6058013901128956E-2</v>
      </c>
      <c r="S17" s="62"/>
      <c r="T17" s="53">
        <v>2036458</v>
      </c>
      <c r="U17" s="53">
        <f>1733637.73</f>
        <v>1733637.73</v>
      </c>
      <c r="V17" s="54">
        <f t="shared" si="6"/>
        <v>-302820.27</v>
      </c>
      <c r="W17" s="55">
        <f t="shared" si="7"/>
        <v>-0.14869949196104218</v>
      </c>
      <c r="X17" s="62"/>
    </row>
    <row r="18" spans="1:24" ht="15.6" customHeight="1" x14ac:dyDescent="0.2">
      <c r="A18" s="43">
        <v>12200</v>
      </c>
      <c r="B18" s="44" t="s">
        <v>433</v>
      </c>
      <c r="C18" s="53">
        <v>24432276.660000004</v>
      </c>
      <c r="D18" s="53">
        <f>29256518-949844-75364-D17</f>
        <v>26194852</v>
      </c>
      <c r="E18" s="355">
        <f>7449011-239111-17400-E17-270000</f>
        <v>6336637</v>
      </c>
      <c r="F18" s="355">
        <f>6438088.17-F17-118152.7-9198</f>
        <v>5707529.4500000002</v>
      </c>
      <c r="G18" s="54">
        <f t="shared" si="0"/>
        <v>-629107.54999999981</v>
      </c>
      <c r="H18" s="55">
        <f>IFERROR(G18/ABS(E18), "-")</f>
        <v>-9.9280982956732378E-2</v>
      </c>
      <c r="I18" s="56"/>
      <c r="J18" s="53">
        <f>14548601-474952-37044-J17-450000</f>
        <v>12505122</v>
      </c>
      <c r="K18" s="355">
        <f>8026667.85+3430997.21+1094288.91+16327.45</f>
        <v>12568281.419999998</v>
      </c>
      <c r="L18" s="54">
        <f t="shared" si="2"/>
        <v>63159.419999998063</v>
      </c>
      <c r="M18" s="55">
        <f t="shared" si="3"/>
        <v>5.0506840317110112E-3</v>
      </c>
      <c r="N18" s="56"/>
      <c r="O18" s="53">
        <f>21483354-710010-58743-O17-1156600</f>
        <v>18073805</v>
      </c>
      <c r="P18" s="53">
        <f>21254114.49-P17-392251.97</f>
        <v>19353833.280000001</v>
      </c>
      <c r="Q18" s="54">
        <f t="shared" si="4"/>
        <v>1280028.2800000012</v>
      </c>
      <c r="R18" s="55">
        <f t="shared" si="5"/>
        <v>7.0822291155625564E-2</v>
      </c>
      <c r="S18" s="56"/>
      <c r="T18" s="53">
        <f>29256518-949844-75364-T17</f>
        <v>26194852</v>
      </c>
      <c r="U18" s="53">
        <f>28321965.52+2777.76-U17+32981.67+832.14</f>
        <v>26624919.360000003</v>
      </c>
      <c r="V18" s="54">
        <f t="shared" si="6"/>
        <v>430067.36000000313</v>
      </c>
      <c r="W18" s="55">
        <f t="shared" si="7"/>
        <v>1.641801068393145E-2</v>
      </c>
      <c r="X18" s="56"/>
    </row>
    <row r="19" spans="1:24" ht="29.45" customHeight="1" x14ac:dyDescent="0.2">
      <c r="A19" s="89">
        <v>13000</v>
      </c>
      <c r="B19" s="95" t="s">
        <v>434</v>
      </c>
      <c r="C19" s="91">
        <v>552536.44999999553</v>
      </c>
      <c r="D19" s="91">
        <f>D5-D16</f>
        <v>493903</v>
      </c>
      <c r="E19" s="91">
        <f>E5-E16</f>
        <v>-330779</v>
      </c>
      <c r="F19" s="91">
        <f>F5-F16</f>
        <v>582235.81000000052</v>
      </c>
      <c r="G19" s="92">
        <f t="shared" si="0"/>
        <v>913014.81000000052</v>
      </c>
      <c r="H19" s="28">
        <f>IFERROR(G19/ABS(E19), "-")</f>
        <v>2.7601958104958313</v>
      </c>
      <c r="I19" s="291"/>
      <c r="J19" s="91">
        <f>J5-J16</f>
        <v>-324618</v>
      </c>
      <c r="K19" s="91">
        <f>K5-K16</f>
        <v>673283.40000000037</v>
      </c>
      <c r="L19" s="92">
        <f t="shared" si="2"/>
        <v>997901.40000000037</v>
      </c>
      <c r="M19" s="28">
        <f>IFERROR(L19/ABS(J19), "-")</f>
        <v>3.0740790714008477</v>
      </c>
      <c r="N19" s="291"/>
      <c r="O19" s="91">
        <f>O5-O16</f>
        <v>-341106</v>
      </c>
      <c r="P19" s="91">
        <f>P5-P16</f>
        <v>933997.81000000238</v>
      </c>
      <c r="Q19" s="92">
        <f t="shared" si="4"/>
        <v>1275103.8100000024</v>
      </c>
      <c r="R19" s="28">
        <f t="shared" si="5"/>
        <v>3.7381453565753824</v>
      </c>
      <c r="S19" s="291"/>
      <c r="T19" s="91">
        <f>T5-T16</f>
        <v>493903</v>
      </c>
      <c r="U19" s="91">
        <f>U5-U16</f>
        <v>850326.27999999374</v>
      </c>
      <c r="V19" s="92">
        <f t="shared" si="6"/>
        <v>356423.27999999374</v>
      </c>
      <c r="W19" s="28">
        <f t="shared" si="7"/>
        <v>0.72164631516713551</v>
      </c>
      <c r="X19" s="291"/>
    </row>
    <row r="20" spans="1:24" ht="15.6" customHeight="1" x14ac:dyDescent="0.2">
      <c r="A20" s="284" t="s">
        <v>435</v>
      </c>
      <c r="B20" s="795" t="s">
        <v>436</v>
      </c>
      <c r="C20" s="795"/>
      <c r="D20" s="795"/>
      <c r="E20" s="795"/>
      <c r="F20" s="795"/>
      <c r="G20" s="795"/>
      <c r="H20" s="425" t="str">
        <f t="shared" ref="H20:H34" si="9">IFERROR(G20/ABS(E20), "-")</f>
        <v>-</v>
      </c>
      <c r="I20" s="286"/>
      <c r="J20" s="287"/>
      <c r="K20" s="287"/>
      <c r="L20" s="287"/>
      <c r="M20" s="288" t="str">
        <f t="shared" si="3"/>
        <v>-</v>
      </c>
      <c r="N20" s="286"/>
      <c r="O20" s="287"/>
      <c r="P20" s="287"/>
      <c r="Q20" s="287"/>
      <c r="R20" s="288" t="str">
        <f t="shared" si="5"/>
        <v>-</v>
      </c>
      <c r="S20" s="286"/>
      <c r="T20" s="287"/>
      <c r="U20" s="287"/>
      <c r="V20" s="287"/>
      <c r="W20" s="288" t="str">
        <f t="shared" si="7"/>
        <v>-</v>
      </c>
      <c r="X20" s="286"/>
    </row>
    <row r="21" spans="1:24" ht="15.6" customHeight="1" x14ac:dyDescent="0.2">
      <c r="A21" s="96">
        <v>14000</v>
      </c>
      <c r="B21" s="97" t="s">
        <v>437</v>
      </c>
      <c r="C21" s="98">
        <f>C22+C23+C24+C25+C26</f>
        <v>0</v>
      </c>
      <c r="D21" s="98">
        <f t="shared" ref="D21:E21" si="10">D22+D23+D24+D25+D26</f>
        <v>0</v>
      </c>
      <c r="E21" s="98">
        <f t="shared" si="10"/>
        <v>0</v>
      </c>
      <c r="F21" s="98">
        <v>0</v>
      </c>
      <c r="G21" s="99">
        <f t="shared" ref="G21:G33" si="11">F21-E21</f>
        <v>0</v>
      </c>
      <c r="H21" s="28" t="str">
        <f t="shared" si="9"/>
        <v>-</v>
      </c>
      <c r="I21" s="290"/>
      <c r="J21" s="98">
        <f t="shared" ref="J21" si="12">J22+J23+J24+J25+J26</f>
        <v>0</v>
      </c>
      <c r="K21" s="98">
        <v>0</v>
      </c>
      <c r="L21" s="99">
        <f t="shared" ref="L21:L33" si="13">K21-J21</f>
        <v>0</v>
      </c>
      <c r="M21" s="28" t="str">
        <f t="shared" si="3"/>
        <v>-</v>
      </c>
      <c r="N21" s="290"/>
      <c r="O21" s="98">
        <v>0</v>
      </c>
      <c r="P21" s="98">
        <f t="shared" ref="P21" si="14">P22+P23+P24+P25+P26</f>
        <v>0</v>
      </c>
      <c r="Q21" s="99">
        <f t="shared" ref="Q21:Q33" si="15">P21-O21</f>
        <v>0</v>
      </c>
      <c r="R21" s="28" t="str">
        <f t="shared" si="5"/>
        <v>-</v>
      </c>
      <c r="S21" s="290"/>
      <c r="T21" s="98">
        <f t="shared" ref="T21:U21" si="16">T22+T23+T24+T25+T26</f>
        <v>0</v>
      </c>
      <c r="U21" s="98">
        <f t="shared" si="16"/>
        <v>0</v>
      </c>
      <c r="V21" s="99">
        <f t="shared" ref="V21:V34" si="17">U21-T21</f>
        <v>0</v>
      </c>
      <c r="W21" s="28" t="str">
        <f t="shared" si="7"/>
        <v>-</v>
      </c>
      <c r="X21" s="290"/>
    </row>
    <row r="22" spans="1:24" ht="31.5" customHeight="1" x14ac:dyDescent="0.2">
      <c r="A22" s="32">
        <v>14100</v>
      </c>
      <c r="B22" s="63" t="s">
        <v>438</v>
      </c>
      <c r="C22" s="17"/>
      <c r="D22" s="17"/>
      <c r="E22" s="17"/>
      <c r="F22" s="17"/>
      <c r="G22" s="64">
        <f t="shared" si="11"/>
        <v>0</v>
      </c>
      <c r="H22" s="424" t="str">
        <f t="shared" si="9"/>
        <v>-</v>
      </c>
      <c r="I22" s="65"/>
      <c r="J22" s="17"/>
      <c r="K22" s="17"/>
      <c r="L22" s="64">
        <f t="shared" si="13"/>
        <v>0</v>
      </c>
      <c r="M22" s="27" t="str">
        <f t="shared" si="3"/>
        <v>-</v>
      </c>
      <c r="N22" s="65"/>
      <c r="O22" s="17"/>
      <c r="P22" s="17"/>
      <c r="Q22" s="64">
        <f t="shared" si="15"/>
        <v>0</v>
      </c>
      <c r="R22" s="27" t="str">
        <f t="shared" si="5"/>
        <v>-</v>
      </c>
      <c r="S22" s="65"/>
      <c r="T22" s="17"/>
      <c r="U22" s="17"/>
      <c r="V22" s="64">
        <f t="shared" si="17"/>
        <v>0</v>
      </c>
      <c r="W22" s="27" t="str">
        <f t="shared" si="7"/>
        <v>-</v>
      </c>
      <c r="X22" s="65"/>
    </row>
    <row r="23" spans="1:24" ht="30.95" customHeight="1" x14ac:dyDescent="0.2">
      <c r="A23" s="32">
        <v>14200</v>
      </c>
      <c r="B23" s="63" t="s">
        <v>439</v>
      </c>
      <c r="C23" s="17"/>
      <c r="D23" s="17"/>
      <c r="E23" s="17"/>
      <c r="F23" s="17"/>
      <c r="G23" s="64">
        <f t="shared" si="11"/>
        <v>0</v>
      </c>
      <c r="H23" s="424" t="str">
        <f t="shared" si="9"/>
        <v>-</v>
      </c>
      <c r="I23" s="65"/>
      <c r="J23" s="17"/>
      <c r="K23" s="17"/>
      <c r="L23" s="64">
        <f t="shared" si="13"/>
        <v>0</v>
      </c>
      <c r="M23" s="27" t="str">
        <f t="shared" si="3"/>
        <v>-</v>
      </c>
      <c r="N23" s="65"/>
      <c r="O23" s="17"/>
      <c r="P23" s="17"/>
      <c r="Q23" s="64">
        <f t="shared" si="15"/>
        <v>0</v>
      </c>
      <c r="R23" s="27" t="str">
        <f t="shared" si="5"/>
        <v>-</v>
      </c>
      <c r="S23" s="65"/>
      <c r="T23" s="17"/>
      <c r="U23" s="17"/>
      <c r="V23" s="64">
        <f t="shared" si="17"/>
        <v>0</v>
      </c>
      <c r="W23" s="27" t="str">
        <f t="shared" si="7"/>
        <v>-</v>
      </c>
      <c r="X23" s="65"/>
    </row>
    <row r="24" spans="1:24" ht="15.6" customHeight="1" x14ac:dyDescent="0.2">
      <c r="A24" s="32">
        <v>14300</v>
      </c>
      <c r="B24" s="14" t="s">
        <v>440</v>
      </c>
      <c r="C24" s="17"/>
      <c r="D24" s="17"/>
      <c r="E24" s="17"/>
      <c r="F24" s="17"/>
      <c r="G24" s="64">
        <f t="shared" si="11"/>
        <v>0</v>
      </c>
      <c r="H24" s="424" t="str">
        <f t="shared" si="9"/>
        <v>-</v>
      </c>
      <c r="I24" s="65"/>
      <c r="J24" s="17"/>
      <c r="K24" s="17"/>
      <c r="L24" s="64">
        <f t="shared" si="13"/>
        <v>0</v>
      </c>
      <c r="M24" s="27" t="str">
        <f t="shared" si="3"/>
        <v>-</v>
      </c>
      <c r="N24" s="65"/>
      <c r="O24" s="17"/>
      <c r="P24" s="17"/>
      <c r="Q24" s="64">
        <f t="shared" si="15"/>
        <v>0</v>
      </c>
      <c r="R24" s="27" t="str">
        <f t="shared" si="5"/>
        <v>-</v>
      </c>
      <c r="S24" s="65"/>
      <c r="T24" s="17"/>
      <c r="U24" s="17"/>
      <c r="V24" s="64">
        <f t="shared" si="17"/>
        <v>0</v>
      </c>
      <c r="W24" s="27" t="str">
        <f t="shared" si="7"/>
        <v>-</v>
      </c>
      <c r="X24" s="65"/>
    </row>
    <row r="25" spans="1:24" ht="15.6" customHeight="1" x14ac:dyDescent="0.2">
      <c r="A25" s="32">
        <v>14400</v>
      </c>
      <c r="B25" s="14" t="s">
        <v>441</v>
      </c>
      <c r="C25" s="17"/>
      <c r="D25" s="17"/>
      <c r="E25" s="17"/>
      <c r="F25" s="17"/>
      <c r="G25" s="64">
        <f t="shared" si="11"/>
        <v>0</v>
      </c>
      <c r="H25" s="424" t="str">
        <f t="shared" si="9"/>
        <v>-</v>
      </c>
      <c r="I25" s="65"/>
      <c r="J25" s="17"/>
      <c r="K25" s="17"/>
      <c r="L25" s="64">
        <f t="shared" si="13"/>
        <v>0</v>
      </c>
      <c r="M25" s="27" t="str">
        <f t="shared" si="3"/>
        <v>-</v>
      </c>
      <c r="N25" s="65"/>
      <c r="O25" s="17"/>
      <c r="P25" s="17"/>
      <c r="Q25" s="64">
        <f t="shared" si="15"/>
        <v>0</v>
      </c>
      <c r="R25" s="27" t="str">
        <f t="shared" si="5"/>
        <v>-</v>
      </c>
      <c r="S25" s="65"/>
      <c r="T25" s="17"/>
      <c r="U25" s="17"/>
      <c r="V25" s="64">
        <f t="shared" si="17"/>
        <v>0</v>
      </c>
      <c r="W25" s="27" t="str">
        <f t="shared" si="7"/>
        <v>-</v>
      </c>
      <c r="X25" s="65"/>
    </row>
    <row r="26" spans="1:24" ht="15.6" customHeight="1" x14ac:dyDescent="0.2">
      <c r="A26" s="32">
        <v>14500</v>
      </c>
      <c r="B26" s="14" t="s">
        <v>442</v>
      </c>
      <c r="C26" s="17"/>
      <c r="D26" s="17"/>
      <c r="E26" s="17"/>
      <c r="F26" s="17"/>
      <c r="G26" s="64">
        <f t="shared" si="11"/>
        <v>0</v>
      </c>
      <c r="H26" s="424" t="str">
        <f t="shared" si="9"/>
        <v>-</v>
      </c>
      <c r="I26" s="65"/>
      <c r="J26" s="17"/>
      <c r="K26" s="17"/>
      <c r="L26" s="64">
        <f t="shared" si="13"/>
        <v>0</v>
      </c>
      <c r="M26" s="27" t="str">
        <f t="shared" si="3"/>
        <v>-</v>
      </c>
      <c r="N26" s="65"/>
      <c r="O26" s="17"/>
      <c r="P26" s="17"/>
      <c r="Q26" s="64">
        <f t="shared" si="15"/>
        <v>0</v>
      </c>
      <c r="R26" s="27" t="str">
        <f t="shared" si="5"/>
        <v>-</v>
      </c>
      <c r="S26" s="65"/>
      <c r="T26" s="17"/>
      <c r="U26" s="17"/>
      <c r="V26" s="64">
        <f t="shared" si="17"/>
        <v>0</v>
      </c>
      <c r="W26" s="27" t="str">
        <f t="shared" si="7"/>
        <v>-</v>
      </c>
      <c r="X26" s="65"/>
    </row>
    <row r="27" spans="1:24" ht="15.6" customHeight="1" x14ac:dyDescent="0.2">
      <c r="A27" s="96">
        <v>15000</v>
      </c>
      <c r="B27" s="100" t="s">
        <v>443</v>
      </c>
      <c r="C27" s="98">
        <f>C28+C29+C33</f>
        <v>539217.17999999993</v>
      </c>
      <c r="D27" s="98">
        <f t="shared" ref="D27:S27" si="18">D28+D29+D33</f>
        <v>827634</v>
      </c>
      <c r="E27" s="98">
        <f t="shared" si="18"/>
        <v>0</v>
      </c>
      <c r="F27" s="98">
        <f t="shared" si="18"/>
        <v>118152.7</v>
      </c>
      <c r="G27" s="98">
        <f t="shared" si="18"/>
        <v>118152.7</v>
      </c>
      <c r="H27" s="28" t="str">
        <f t="shared" si="9"/>
        <v>-</v>
      </c>
      <c r="I27" s="98">
        <f t="shared" si="18"/>
        <v>0</v>
      </c>
      <c r="J27" s="98">
        <f t="shared" si="18"/>
        <v>0</v>
      </c>
      <c r="K27" s="98">
        <f t="shared" si="18"/>
        <v>306938.99</v>
      </c>
      <c r="L27" s="98">
        <f t="shared" si="18"/>
        <v>306938.99</v>
      </c>
      <c r="M27" s="153" t="str">
        <f t="shared" si="3"/>
        <v>-</v>
      </c>
      <c r="N27" s="98">
        <f t="shared" si="18"/>
        <v>0</v>
      </c>
      <c r="O27" s="98">
        <f t="shared" si="18"/>
        <v>0</v>
      </c>
      <c r="P27" s="98">
        <f t="shared" si="18"/>
        <v>392251.97</v>
      </c>
      <c r="Q27" s="98">
        <f t="shared" si="18"/>
        <v>392251.97</v>
      </c>
      <c r="R27" s="98" t="e">
        <f>R28+R29+R33</f>
        <v>#VALUE!</v>
      </c>
      <c r="S27" s="98">
        <f t="shared" si="18"/>
        <v>0</v>
      </c>
      <c r="T27" s="98">
        <f>T28+T29+T33</f>
        <v>827634</v>
      </c>
      <c r="U27" s="98">
        <f>U28+U29+U33</f>
        <v>1908350.74</v>
      </c>
      <c r="V27" s="99">
        <f t="shared" si="17"/>
        <v>1080716.74</v>
      </c>
      <c r="W27" s="28">
        <f t="shared" si="7"/>
        <v>1.3057906514232136</v>
      </c>
      <c r="X27" s="290"/>
    </row>
    <row r="28" spans="1:24" ht="31.5" customHeight="1" x14ac:dyDescent="0.2">
      <c r="A28" s="32">
        <v>15100</v>
      </c>
      <c r="B28" s="63" t="s">
        <v>444</v>
      </c>
      <c r="C28" s="17"/>
      <c r="D28" s="17"/>
      <c r="E28" s="17"/>
      <c r="F28" s="17"/>
      <c r="G28" s="64">
        <f t="shared" si="11"/>
        <v>0</v>
      </c>
      <c r="H28" s="424" t="str">
        <f t="shared" si="9"/>
        <v>-</v>
      </c>
      <c r="I28" s="66"/>
      <c r="J28" s="17"/>
      <c r="K28" s="17"/>
      <c r="L28" s="64">
        <f t="shared" si="13"/>
        <v>0</v>
      </c>
      <c r="M28" s="27" t="str">
        <f t="shared" si="3"/>
        <v>-</v>
      </c>
      <c r="N28" s="66"/>
      <c r="O28" s="17"/>
      <c r="P28" s="17"/>
      <c r="Q28" s="64">
        <f t="shared" si="15"/>
        <v>0</v>
      </c>
      <c r="R28" s="27" t="str">
        <f t="shared" si="5"/>
        <v>-</v>
      </c>
      <c r="S28" s="66"/>
      <c r="T28" s="17"/>
      <c r="U28" s="17"/>
      <c r="V28" s="64">
        <f t="shared" si="17"/>
        <v>0</v>
      </c>
      <c r="W28" s="27" t="str">
        <f t="shared" si="7"/>
        <v>-</v>
      </c>
      <c r="X28" s="66"/>
    </row>
    <row r="29" spans="1:24" ht="15" customHeight="1" x14ac:dyDescent="0.2">
      <c r="A29" s="32">
        <v>15200</v>
      </c>
      <c r="B29" s="63" t="s">
        <v>445</v>
      </c>
      <c r="C29" s="67">
        <f>C31+C30+C32</f>
        <v>539217.17999999993</v>
      </c>
      <c r="D29" s="67">
        <f t="shared" ref="D29:U29" si="19">D31+D30+D32</f>
        <v>827634</v>
      </c>
      <c r="E29" s="67">
        <f t="shared" si="19"/>
        <v>0</v>
      </c>
      <c r="F29" s="67">
        <f t="shared" si="19"/>
        <v>118152.7</v>
      </c>
      <c r="G29" s="67">
        <f t="shared" si="19"/>
        <v>118152.7</v>
      </c>
      <c r="H29" s="67" t="e">
        <f t="shared" si="19"/>
        <v>#VALUE!</v>
      </c>
      <c r="I29" s="67">
        <f t="shared" si="19"/>
        <v>0</v>
      </c>
      <c r="J29" s="67">
        <f t="shared" si="19"/>
        <v>0</v>
      </c>
      <c r="K29" s="67">
        <f t="shared" si="19"/>
        <v>306938.99</v>
      </c>
      <c r="L29" s="67">
        <f t="shared" si="19"/>
        <v>306938.99</v>
      </c>
      <c r="M29" s="67" t="e">
        <f t="shared" si="19"/>
        <v>#VALUE!</v>
      </c>
      <c r="N29" s="67">
        <f t="shared" si="19"/>
        <v>0</v>
      </c>
      <c r="O29" s="67">
        <f t="shared" si="19"/>
        <v>0</v>
      </c>
      <c r="P29" s="67">
        <f t="shared" si="19"/>
        <v>392251.97</v>
      </c>
      <c r="Q29" s="67">
        <f t="shared" si="19"/>
        <v>392251.97</v>
      </c>
      <c r="R29" s="67" t="e">
        <f t="shared" si="19"/>
        <v>#VALUE!</v>
      </c>
      <c r="S29" s="67">
        <f t="shared" si="19"/>
        <v>0</v>
      </c>
      <c r="T29" s="67">
        <f t="shared" si="19"/>
        <v>827634</v>
      </c>
      <c r="U29" s="67">
        <f t="shared" si="19"/>
        <v>1908350.74</v>
      </c>
      <c r="V29" s="68">
        <f t="shared" si="17"/>
        <v>1080716.74</v>
      </c>
      <c r="W29" s="69">
        <f t="shared" si="7"/>
        <v>1.3057906514232136</v>
      </c>
      <c r="X29" s="670"/>
    </row>
    <row r="30" spans="1:24" ht="196.5" customHeight="1" x14ac:dyDescent="0.2">
      <c r="A30" s="70">
        <v>15210</v>
      </c>
      <c r="B30" s="71" t="s">
        <v>446</v>
      </c>
      <c r="C30" s="72">
        <v>36300</v>
      </c>
      <c r="D30" s="72"/>
      <c r="E30" s="72"/>
      <c r="F30" s="67"/>
      <c r="G30" s="73">
        <f t="shared" si="11"/>
        <v>0</v>
      </c>
      <c r="H30" s="424" t="str">
        <f t="shared" si="9"/>
        <v>-</v>
      </c>
      <c r="I30" s="74"/>
      <c r="J30" s="72"/>
      <c r="K30" s="72"/>
      <c r="L30" s="73">
        <f t="shared" si="13"/>
        <v>0</v>
      </c>
      <c r="M30" s="55" t="str">
        <f t="shared" si="3"/>
        <v>-</v>
      </c>
      <c r="N30" s="74"/>
      <c r="O30" s="72"/>
      <c r="P30" s="72">
        <v>0</v>
      </c>
      <c r="Q30" s="73">
        <f t="shared" si="15"/>
        <v>0</v>
      </c>
      <c r="R30" s="55" t="str">
        <f t="shared" si="5"/>
        <v>-</v>
      </c>
      <c r="S30" s="74"/>
      <c r="T30" s="72"/>
      <c r="U30" s="72">
        <v>314600</v>
      </c>
      <c r="V30" s="73">
        <f t="shared" si="17"/>
        <v>314600</v>
      </c>
      <c r="W30" s="669" t="str">
        <f t="shared" si="7"/>
        <v>-</v>
      </c>
      <c r="X30" s="668" t="s">
        <v>447</v>
      </c>
    </row>
    <row r="31" spans="1:24" ht="157.5" customHeight="1" x14ac:dyDescent="0.2">
      <c r="A31" s="70">
        <v>15220</v>
      </c>
      <c r="B31" s="71" t="s">
        <v>448</v>
      </c>
      <c r="C31" s="72">
        <v>474917.18</v>
      </c>
      <c r="D31" s="72">
        <v>827634</v>
      </c>
      <c r="E31" s="72"/>
      <c r="F31" s="67">
        <v>118152.7</v>
      </c>
      <c r="G31" s="73">
        <f t="shared" si="11"/>
        <v>118152.7</v>
      </c>
      <c r="H31" s="424" t="str">
        <f t="shared" si="9"/>
        <v>-</v>
      </c>
      <c r="I31" s="74"/>
      <c r="J31" s="72"/>
      <c r="K31" s="72">
        <v>306938.99</v>
      </c>
      <c r="L31" s="73">
        <f t="shared" si="13"/>
        <v>306938.99</v>
      </c>
      <c r="M31" s="55" t="str">
        <f>IFERROR(L31/ABS(J31), "-")</f>
        <v>-</v>
      </c>
      <c r="N31" s="74"/>
      <c r="O31" s="72"/>
      <c r="P31" s="72">
        <v>392251.97</v>
      </c>
      <c r="Q31" s="73">
        <f t="shared" si="15"/>
        <v>392251.97</v>
      </c>
      <c r="R31" s="55" t="str">
        <f t="shared" si="5"/>
        <v>-</v>
      </c>
      <c r="S31" s="74"/>
      <c r="T31" s="72">
        <v>827634</v>
      </c>
      <c r="U31" s="72">
        <f>1908350.74-314600</f>
        <v>1593750.74</v>
      </c>
      <c r="V31" s="73">
        <f t="shared" si="17"/>
        <v>766116.74</v>
      </c>
      <c r="W31" s="55">
        <f t="shared" si="7"/>
        <v>0.92567093667007394</v>
      </c>
      <c r="X31" s="675" t="s">
        <v>449</v>
      </c>
    </row>
    <row r="32" spans="1:24" x14ac:dyDescent="0.2">
      <c r="A32" s="70">
        <v>15230</v>
      </c>
      <c r="B32" s="71" t="s">
        <v>450</v>
      </c>
      <c r="C32" s="72">
        <v>28000</v>
      </c>
      <c r="D32" s="72"/>
      <c r="E32" s="72"/>
      <c r="F32" s="67"/>
      <c r="G32" s="73">
        <f t="shared" si="11"/>
        <v>0</v>
      </c>
      <c r="H32" s="424" t="str">
        <f t="shared" si="9"/>
        <v>-</v>
      </c>
      <c r="I32" s="75"/>
      <c r="J32" s="72"/>
      <c r="K32" s="72"/>
      <c r="L32" s="73">
        <f t="shared" si="13"/>
        <v>0</v>
      </c>
      <c r="M32" s="55" t="str">
        <f t="shared" si="3"/>
        <v>-</v>
      </c>
      <c r="N32" s="75"/>
      <c r="O32" s="72"/>
      <c r="P32" s="72">
        <v>0</v>
      </c>
      <c r="Q32" s="73">
        <f t="shared" si="15"/>
        <v>0</v>
      </c>
      <c r="R32" s="55" t="str">
        <f t="shared" si="5"/>
        <v>-</v>
      </c>
      <c r="S32" s="75"/>
      <c r="T32" s="72"/>
      <c r="U32" s="72">
        <v>0</v>
      </c>
      <c r="V32" s="73">
        <f t="shared" si="17"/>
        <v>0</v>
      </c>
      <c r="W32" s="669" t="str">
        <f t="shared" si="7"/>
        <v>-</v>
      </c>
      <c r="X32" s="676"/>
    </row>
    <row r="33" spans="1:24" ht="15.6" customHeight="1" x14ac:dyDescent="0.2">
      <c r="A33" s="32">
        <v>15300</v>
      </c>
      <c r="B33" s="63" t="s">
        <v>451</v>
      </c>
      <c r="C33" s="17">
        <v>0</v>
      </c>
      <c r="D33" s="17">
        <v>0</v>
      </c>
      <c r="E33" s="17">
        <v>0</v>
      </c>
      <c r="F33" s="17">
        <v>0</v>
      </c>
      <c r="G33" s="64">
        <f t="shared" si="11"/>
        <v>0</v>
      </c>
      <c r="H33" s="424" t="str">
        <f t="shared" si="9"/>
        <v>-</v>
      </c>
      <c r="I33" s="75"/>
      <c r="J33" s="17">
        <v>0</v>
      </c>
      <c r="K33" s="17">
        <v>0</v>
      </c>
      <c r="L33" s="64">
        <f t="shared" si="13"/>
        <v>0</v>
      </c>
      <c r="M33" s="27" t="str">
        <f t="shared" si="3"/>
        <v>-</v>
      </c>
      <c r="N33" s="75"/>
      <c r="O33" s="17">
        <v>0</v>
      </c>
      <c r="P33" s="17">
        <v>0</v>
      </c>
      <c r="Q33" s="64">
        <f t="shared" si="15"/>
        <v>0</v>
      </c>
      <c r="R33" s="27" t="str">
        <f t="shared" si="5"/>
        <v>-</v>
      </c>
      <c r="S33" s="75"/>
      <c r="T33" s="17">
        <v>0</v>
      </c>
      <c r="U33" s="17">
        <v>0</v>
      </c>
      <c r="V33" s="64">
        <f t="shared" si="17"/>
        <v>0</v>
      </c>
      <c r="W33" s="673" t="str">
        <f t="shared" si="7"/>
        <v>-</v>
      </c>
      <c r="X33" s="676"/>
    </row>
    <row r="34" spans="1:24" ht="30.6" customHeight="1" x14ac:dyDescent="0.25">
      <c r="A34" s="101">
        <v>16000</v>
      </c>
      <c r="B34" s="102" t="s">
        <v>452</v>
      </c>
      <c r="C34" s="103">
        <f>C21-C27</f>
        <v>-539217.17999999993</v>
      </c>
      <c r="D34" s="103">
        <f t="shared" ref="D34:T34" si="20">D21-D27</f>
        <v>-827634</v>
      </c>
      <c r="E34" s="103">
        <f t="shared" si="20"/>
        <v>0</v>
      </c>
      <c r="F34" s="103">
        <f t="shared" si="20"/>
        <v>-118152.7</v>
      </c>
      <c r="G34" s="103">
        <f t="shared" si="20"/>
        <v>-118152.7</v>
      </c>
      <c r="H34" s="28" t="str">
        <f t="shared" si="9"/>
        <v>-</v>
      </c>
      <c r="I34" s="103">
        <f t="shared" si="20"/>
        <v>0</v>
      </c>
      <c r="J34" s="103">
        <f t="shared" si="20"/>
        <v>0</v>
      </c>
      <c r="K34" s="103">
        <f t="shared" si="20"/>
        <v>-306938.99</v>
      </c>
      <c r="L34" s="103">
        <f t="shared" si="20"/>
        <v>-306938.99</v>
      </c>
      <c r="M34" s="153" t="str">
        <f t="shared" si="3"/>
        <v>-</v>
      </c>
      <c r="N34" s="103">
        <f t="shared" si="20"/>
        <v>0</v>
      </c>
      <c r="O34" s="103">
        <f t="shared" si="20"/>
        <v>0</v>
      </c>
      <c r="P34" s="103">
        <f t="shared" si="20"/>
        <v>-392251.97</v>
      </c>
      <c r="Q34" s="103">
        <f t="shared" si="20"/>
        <v>-392251.97</v>
      </c>
      <c r="R34" s="103" t="e">
        <f>R21-R27</f>
        <v>#VALUE!</v>
      </c>
      <c r="S34" s="103">
        <f t="shared" si="20"/>
        <v>0</v>
      </c>
      <c r="T34" s="90">
        <f t="shared" si="20"/>
        <v>-827634</v>
      </c>
      <c r="U34" s="90">
        <f>U21-U27</f>
        <v>-1908350.74</v>
      </c>
      <c r="V34" s="93">
        <f t="shared" si="17"/>
        <v>-1080716.74</v>
      </c>
      <c r="W34" s="674">
        <f t="shared" si="7"/>
        <v>-1.3057906514232136</v>
      </c>
      <c r="X34" s="684" t="s">
        <v>453</v>
      </c>
    </row>
    <row r="35" spans="1:24" ht="15.6" customHeight="1" x14ac:dyDescent="0.2">
      <c r="A35" s="284" t="s">
        <v>454</v>
      </c>
      <c r="B35" s="795" t="s">
        <v>455</v>
      </c>
      <c r="C35" s="795"/>
      <c r="D35" s="795"/>
      <c r="E35" s="795"/>
      <c r="F35" s="795"/>
      <c r="G35" s="795"/>
      <c r="H35" s="288" t="str">
        <f t="shared" si="1"/>
        <v>-</v>
      </c>
      <c r="I35" s="286"/>
      <c r="J35" s="287"/>
      <c r="K35" s="287"/>
      <c r="L35" s="287"/>
      <c r="M35" s="288" t="str">
        <f t="shared" si="3"/>
        <v>-</v>
      </c>
      <c r="N35" s="286"/>
      <c r="O35" s="287"/>
      <c r="P35" s="287"/>
      <c r="Q35" s="287"/>
      <c r="R35" s="288" t="str">
        <f t="shared" si="5"/>
        <v>-</v>
      </c>
      <c r="S35" s="286"/>
      <c r="T35" s="287"/>
      <c r="U35" s="287"/>
      <c r="V35" s="287"/>
      <c r="W35" s="671" t="str">
        <f t="shared" si="7"/>
        <v>-</v>
      </c>
      <c r="X35" s="676"/>
    </row>
    <row r="36" spans="1:24" ht="15.6" customHeight="1" x14ac:dyDescent="0.2">
      <c r="A36" s="104">
        <v>17000</v>
      </c>
      <c r="B36" s="105" t="s">
        <v>456</v>
      </c>
      <c r="C36" s="106">
        <f>C37+C38+C39</f>
        <v>0</v>
      </c>
      <c r="D36" s="106">
        <f t="shared" ref="D36" si="21">D37+D38+D39</f>
        <v>0</v>
      </c>
      <c r="E36" s="106">
        <f>E37+E38+E39</f>
        <v>0</v>
      </c>
      <c r="F36" s="106">
        <v>0</v>
      </c>
      <c r="G36" s="107">
        <f t="shared" ref="G36:G54" si="22">F36-E36</f>
        <v>0</v>
      </c>
      <c r="H36" s="94" t="str">
        <f t="shared" si="1"/>
        <v>-</v>
      </c>
      <c r="I36" s="289"/>
      <c r="J36" s="90">
        <f>J37+J38+J39</f>
        <v>0</v>
      </c>
      <c r="K36" s="106">
        <v>0</v>
      </c>
      <c r="L36" s="93">
        <f t="shared" ref="L36:L54" si="23">K36-J36</f>
        <v>0</v>
      </c>
      <c r="M36" s="94" t="str">
        <f t="shared" si="3"/>
        <v>-</v>
      </c>
      <c r="N36" s="289"/>
      <c r="O36" s="90">
        <v>0</v>
      </c>
      <c r="P36" s="90">
        <f t="shared" ref="P36" si="24">P37+P38+P39</f>
        <v>0</v>
      </c>
      <c r="Q36" s="93">
        <f t="shared" ref="Q36:Q54" si="25">P36-O36</f>
        <v>0</v>
      </c>
      <c r="R36" s="94" t="str">
        <f t="shared" si="5"/>
        <v>-</v>
      </c>
      <c r="S36" s="289"/>
      <c r="T36" s="90">
        <f t="shared" ref="T36:U36" si="26">T37+T38+T39</f>
        <v>0</v>
      </c>
      <c r="U36" s="672">
        <f t="shared" si="26"/>
        <v>1934195</v>
      </c>
      <c r="V36" s="93">
        <f t="shared" ref="V36:V54" si="27">U36-T36</f>
        <v>1934195</v>
      </c>
      <c r="W36" s="674" t="str">
        <f t="shared" si="7"/>
        <v>-</v>
      </c>
      <c r="X36" s="681"/>
    </row>
    <row r="37" spans="1:24" ht="30.6" customHeight="1" x14ac:dyDescent="0.2">
      <c r="A37" s="76">
        <v>17100</v>
      </c>
      <c r="B37" s="77" t="s">
        <v>457</v>
      </c>
      <c r="C37" s="78"/>
      <c r="D37" s="78"/>
      <c r="E37" s="78"/>
      <c r="F37" s="78"/>
      <c r="G37" s="79">
        <f t="shared" si="22"/>
        <v>0</v>
      </c>
      <c r="H37" s="27" t="str">
        <f t="shared" si="1"/>
        <v>-</v>
      </c>
      <c r="I37" s="80"/>
      <c r="J37" s="78"/>
      <c r="K37" s="78"/>
      <c r="L37" s="79">
        <f t="shared" si="23"/>
        <v>0</v>
      </c>
      <c r="M37" s="27" t="str">
        <f t="shared" si="3"/>
        <v>-</v>
      </c>
      <c r="N37" s="80"/>
      <c r="O37" s="78"/>
      <c r="P37" s="78"/>
      <c r="Q37" s="79">
        <f t="shared" si="25"/>
        <v>0</v>
      </c>
      <c r="R37" s="27" t="str">
        <f t="shared" si="5"/>
        <v>-</v>
      </c>
      <c r="S37" s="80"/>
      <c r="T37" s="78"/>
      <c r="U37" s="78"/>
      <c r="V37" s="79">
        <f t="shared" si="27"/>
        <v>0</v>
      </c>
      <c r="W37" s="673" t="str">
        <f t="shared" si="7"/>
        <v>-</v>
      </c>
      <c r="X37" s="676"/>
    </row>
    <row r="38" spans="1:24" ht="15.6" customHeight="1" x14ac:dyDescent="0.2">
      <c r="A38" s="76">
        <v>17200</v>
      </c>
      <c r="B38" s="77" t="s">
        <v>458</v>
      </c>
      <c r="C38" s="78"/>
      <c r="D38" s="78"/>
      <c r="E38" s="78"/>
      <c r="F38" s="78"/>
      <c r="G38" s="79">
        <f t="shared" si="22"/>
        <v>0</v>
      </c>
      <c r="H38" s="27" t="str">
        <f t="shared" si="1"/>
        <v>-</v>
      </c>
      <c r="I38" s="80"/>
      <c r="J38" s="78"/>
      <c r="K38" s="78"/>
      <c r="L38" s="79">
        <f t="shared" si="23"/>
        <v>0</v>
      </c>
      <c r="M38" s="27" t="str">
        <f t="shared" si="3"/>
        <v>-</v>
      </c>
      <c r="N38" s="80"/>
      <c r="O38" s="78"/>
      <c r="P38" s="78"/>
      <c r="Q38" s="79">
        <f t="shared" si="25"/>
        <v>0</v>
      </c>
      <c r="R38" s="27" t="str">
        <f t="shared" si="5"/>
        <v>-</v>
      </c>
      <c r="S38" s="80"/>
      <c r="T38" s="78"/>
      <c r="U38" s="78"/>
      <c r="V38" s="79">
        <f t="shared" si="27"/>
        <v>0</v>
      </c>
      <c r="W38" s="673" t="str">
        <f t="shared" si="7"/>
        <v>-</v>
      </c>
      <c r="X38" s="676"/>
    </row>
    <row r="39" spans="1:24" ht="33" customHeight="1" x14ac:dyDescent="0.2">
      <c r="A39" s="43">
        <v>17300</v>
      </c>
      <c r="B39" s="44" t="s">
        <v>459</v>
      </c>
      <c r="C39" s="45"/>
      <c r="D39" s="45"/>
      <c r="E39" s="45"/>
      <c r="F39" s="45"/>
      <c r="G39" s="46">
        <f t="shared" si="22"/>
        <v>0</v>
      </c>
      <c r="H39" s="47" t="str">
        <f t="shared" si="1"/>
        <v>-</v>
      </c>
      <c r="I39" s="110"/>
      <c r="J39" s="45"/>
      <c r="K39" s="45"/>
      <c r="L39" s="46">
        <f t="shared" si="23"/>
        <v>0</v>
      </c>
      <c r="M39" s="47" t="str">
        <f t="shared" si="3"/>
        <v>-</v>
      </c>
      <c r="N39" s="110"/>
      <c r="O39" s="45"/>
      <c r="P39" s="45"/>
      <c r="Q39" s="46">
        <f t="shared" si="25"/>
        <v>0</v>
      </c>
      <c r="R39" s="47" t="str">
        <f t="shared" si="5"/>
        <v>-</v>
      </c>
      <c r="S39" s="110"/>
      <c r="T39" s="45"/>
      <c r="U39" s="45">
        <v>1934195</v>
      </c>
      <c r="V39" s="46">
        <f t="shared" si="27"/>
        <v>1934195</v>
      </c>
      <c r="W39" s="682" t="str">
        <f t="shared" si="7"/>
        <v>-</v>
      </c>
      <c r="X39" s="681"/>
    </row>
    <row r="40" spans="1:24" ht="15.6" customHeight="1" x14ac:dyDescent="0.2">
      <c r="A40" s="108">
        <v>18000</v>
      </c>
      <c r="B40" s="100" t="s">
        <v>460</v>
      </c>
      <c r="C40" s="90">
        <f>C41+C42+C43</f>
        <v>0</v>
      </c>
      <c r="D40" s="90">
        <f t="shared" ref="D40:E40" si="28">D41+D42+D43</f>
        <v>0</v>
      </c>
      <c r="E40" s="90">
        <f t="shared" si="28"/>
        <v>0</v>
      </c>
      <c r="F40" s="90">
        <v>0</v>
      </c>
      <c r="G40" s="93">
        <f t="shared" si="22"/>
        <v>0</v>
      </c>
      <c r="H40" s="94" t="str">
        <f t="shared" si="1"/>
        <v>-</v>
      </c>
      <c r="I40" s="289"/>
      <c r="J40" s="90">
        <f t="shared" ref="J40" si="29">J41+J42+J43</f>
        <v>0</v>
      </c>
      <c r="K40" s="90">
        <v>0</v>
      </c>
      <c r="L40" s="93">
        <f t="shared" si="23"/>
        <v>0</v>
      </c>
      <c r="M40" s="94" t="str">
        <f t="shared" si="3"/>
        <v>-</v>
      </c>
      <c r="N40" s="289"/>
      <c r="O40" s="90">
        <v>0</v>
      </c>
      <c r="P40" s="90">
        <f t="shared" ref="P40" si="30">P41+P42+P43</f>
        <v>0</v>
      </c>
      <c r="Q40" s="93">
        <f t="shared" si="25"/>
        <v>0</v>
      </c>
      <c r="R40" s="94" t="str">
        <f t="shared" si="5"/>
        <v>-</v>
      </c>
      <c r="S40" s="289"/>
      <c r="T40" s="90">
        <f t="shared" ref="T40:U40" si="31">T41+T42+T43</f>
        <v>0</v>
      </c>
      <c r="U40" s="90">
        <f t="shared" si="31"/>
        <v>0</v>
      </c>
      <c r="V40" s="93">
        <f t="shared" si="27"/>
        <v>0</v>
      </c>
      <c r="W40" s="674" t="str">
        <f t="shared" si="7"/>
        <v>-</v>
      </c>
      <c r="X40" s="681"/>
    </row>
    <row r="41" spans="1:24" ht="15.6" customHeight="1" x14ac:dyDescent="0.2">
      <c r="A41" s="81">
        <v>18100</v>
      </c>
      <c r="B41" s="14" t="s">
        <v>461</v>
      </c>
      <c r="C41" s="78"/>
      <c r="D41" s="78"/>
      <c r="E41" s="78"/>
      <c r="F41" s="78"/>
      <c r="G41" s="79">
        <f t="shared" si="22"/>
        <v>0</v>
      </c>
      <c r="H41" s="27" t="str">
        <f t="shared" si="1"/>
        <v>-</v>
      </c>
      <c r="I41" s="82"/>
      <c r="J41" s="78"/>
      <c r="K41" s="78"/>
      <c r="L41" s="79">
        <f t="shared" si="23"/>
        <v>0</v>
      </c>
      <c r="M41" s="27" t="str">
        <f t="shared" si="3"/>
        <v>-</v>
      </c>
      <c r="N41" s="82"/>
      <c r="O41" s="78"/>
      <c r="P41" s="78"/>
      <c r="Q41" s="79">
        <f t="shared" si="25"/>
        <v>0</v>
      </c>
      <c r="R41" s="27" t="str">
        <f t="shared" si="5"/>
        <v>-</v>
      </c>
      <c r="S41" s="82"/>
      <c r="T41" s="78"/>
      <c r="U41" s="78"/>
      <c r="V41" s="79">
        <f t="shared" si="27"/>
        <v>0</v>
      </c>
      <c r="W41" s="673" t="str">
        <f t="shared" si="7"/>
        <v>-</v>
      </c>
      <c r="X41" s="676"/>
    </row>
    <row r="42" spans="1:24" ht="15.6" customHeight="1" x14ac:dyDescent="0.2">
      <c r="A42" s="81">
        <v>18200</v>
      </c>
      <c r="B42" s="14" t="s">
        <v>462</v>
      </c>
      <c r="C42" s="78"/>
      <c r="D42" s="78"/>
      <c r="E42" s="78"/>
      <c r="F42" s="78"/>
      <c r="G42" s="79">
        <f t="shared" si="22"/>
        <v>0</v>
      </c>
      <c r="H42" s="27" t="str">
        <f t="shared" si="1"/>
        <v>-</v>
      </c>
      <c r="I42" s="82"/>
      <c r="J42" s="78"/>
      <c r="K42" s="78"/>
      <c r="L42" s="79">
        <f t="shared" si="23"/>
        <v>0</v>
      </c>
      <c r="M42" s="27" t="str">
        <f t="shared" si="3"/>
        <v>-</v>
      </c>
      <c r="N42" s="82"/>
      <c r="O42" s="78"/>
      <c r="P42" s="78"/>
      <c r="Q42" s="79">
        <f t="shared" si="25"/>
        <v>0</v>
      </c>
      <c r="R42" s="27" t="str">
        <f t="shared" si="5"/>
        <v>-</v>
      </c>
      <c r="S42" s="82"/>
      <c r="T42" s="78"/>
      <c r="U42" s="78"/>
      <c r="V42" s="79">
        <f t="shared" si="27"/>
        <v>0</v>
      </c>
      <c r="W42" s="673" t="str">
        <f t="shared" si="7"/>
        <v>-</v>
      </c>
      <c r="X42" s="676"/>
    </row>
    <row r="43" spans="1:24" ht="15.6" customHeight="1" x14ac:dyDescent="0.2">
      <c r="A43" s="81">
        <v>18300</v>
      </c>
      <c r="B43" s="14" t="s">
        <v>463</v>
      </c>
      <c r="C43" s="78"/>
      <c r="D43" s="78"/>
      <c r="E43" s="78"/>
      <c r="F43" s="78"/>
      <c r="G43" s="79">
        <f t="shared" si="22"/>
        <v>0</v>
      </c>
      <c r="H43" s="27" t="str">
        <f t="shared" si="1"/>
        <v>-</v>
      </c>
      <c r="I43" s="82"/>
      <c r="J43" s="78"/>
      <c r="K43" s="78"/>
      <c r="L43" s="79">
        <f t="shared" si="23"/>
        <v>0</v>
      </c>
      <c r="M43" s="27" t="str">
        <f t="shared" si="3"/>
        <v>-</v>
      </c>
      <c r="N43" s="82"/>
      <c r="O43" s="78"/>
      <c r="P43" s="78"/>
      <c r="Q43" s="79">
        <f t="shared" si="25"/>
        <v>0</v>
      </c>
      <c r="R43" s="27" t="str">
        <f t="shared" si="5"/>
        <v>-</v>
      </c>
      <c r="S43" s="82"/>
      <c r="T43" s="78"/>
      <c r="U43" s="78"/>
      <c r="V43" s="79">
        <f t="shared" si="27"/>
        <v>0</v>
      </c>
      <c r="W43" s="673" t="str">
        <f t="shared" si="7"/>
        <v>-</v>
      </c>
      <c r="X43" s="676"/>
    </row>
    <row r="44" spans="1:24" ht="30.6" customHeight="1" x14ac:dyDescent="0.2">
      <c r="A44" s="89">
        <v>19000</v>
      </c>
      <c r="B44" s="109" t="s">
        <v>464</v>
      </c>
      <c r="C44" s="90">
        <f>C36-C40</f>
        <v>0</v>
      </c>
      <c r="D44" s="90">
        <f>D36-D40</f>
        <v>0</v>
      </c>
      <c r="E44" s="90">
        <f>E36-E40</f>
        <v>0</v>
      </c>
      <c r="F44" s="90">
        <v>0</v>
      </c>
      <c r="G44" s="93">
        <f t="shared" si="22"/>
        <v>0</v>
      </c>
      <c r="H44" s="94" t="str">
        <f t="shared" si="1"/>
        <v>-</v>
      </c>
      <c r="I44" s="289"/>
      <c r="J44" s="90">
        <f>J36-J40</f>
        <v>0</v>
      </c>
      <c r="K44" s="90">
        <v>0</v>
      </c>
      <c r="L44" s="93">
        <f t="shared" si="23"/>
        <v>0</v>
      </c>
      <c r="M44" s="94" t="str">
        <f t="shared" si="3"/>
        <v>-</v>
      </c>
      <c r="N44" s="289"/>
      <c r="O44" s="90">
        <v>0</v>
      </c>
      <c r="P44" s="90">
        <f>P36-P40</f>
        <v>0</v>
      </c>
      <c r="Q44" s="93">
        <f t="shared" si="25"/>
        <v>0</v>
      </c>
      <c r="R44" s="94" t="str">
        <f t="shared" si="5"/>
        <v>-</v>
      </c>
      <c r="S44" s="289"/>
      <c r="T44" s="90">
        <f>T36-T40</f>
        <v>0</v>
      </c>
      <c r="U44" s="90">
        <f>U36-U40</f>
        <v>1934195</v>
      </c>
      <c r="V44" s="93">
        <f t="shared" si="27"/>
        <v>1934195</v>
      </c>
      <c r="W44" s="674" t="str">
        <f t="shared" si="7"/>
        <v>-</v>
      </c>
      <c r="X44" s="681"/>
    </row>
    <row r="45" spans="1:24" ht="15.6" customHeight="1" x14ac:dyDescent="0.2">
      <c r="A45" s="83">
        <v>20100</v>
      </c>
      <c r="B45" s="84" t="s">
        <v>465</v>
      </c>
      <c r="C45" s="85"/>
      <c r="D45" s="86"/>
      <c r="E45" s="85"/>
      <c r="F45" s="85"/>
      <c r="G45" s="87">
        <f t="shared" si="22"/>
        <v>0</v>
      </c>
      <c r="H45" s="88" t="str">
        <f t="shared" si="1"/>
        <v>-</v>
      </c>
      <c r="I45" s="80"/>
      <c r="J45" s="85"/>
      <c r="K45" s="85"/>
      <c r="L45" s="87">
        <f t="shared" si="23"/>
        <v>0</v>
      </c>
      <c r="M45" s="88" t="str">
        <f t="shared" si="3"/>
        <v>-</v>
      </c>
      <c r="N45" s="80"/>
      <c r="O45" s="85"/>
      <c r="P45" s="85"/>
      <c r="Q45" s="87">
        <f t="shared" si="25"/>
        <v>0</v>
      </c>
      <c r="R45" s="88" t="str">
        <f t="shared" si="5"/>
        <v>-</v>
      </c>
      <c r="S45" s="80"/>
      <c r="T45" s="85"/>
      <c r="U45" s="85"/>
      <c r="V45" s="87">
        <f t="shared" si="27"/>
        <v>0</v>
      </c>
      <c r="W45" s="561" t="str">
        <f t="shared" si="7"/>
        <v>-</v>
      </c>
      <c r="X45" s="676"/>
    </row>
    <row r="46" spans="1:24" ht="31.5" customHeight="1" x14ac:dyDescent="0.2">
      <c r="A46" s="83">
        <v>20200</v>
      </c>
      <c r="B46" s="84" t="s">
        <v>466</v>
      </c>
      <c r="C46" s="85"/>
      <c r="D46" s="86"/>
      <c r="E46" s="85"/>
      <c r="F46" s="85"/>
      <c r="G46" s="87">
        <f t="shared" si="22"/>
        <v>0</v>
      </c>
      <c r="H46" s="88" t="str">
        <f t="shared" si="1"/>
        <v>-</v>
      </c>
      <c r="I46" s="80"/>
      <c r="J46" s="85"/>
      <c r="K46" s="85"/>
      <c r="L46" s="87">
        <f t="shared" si="23"/>
        <v>0</v>
      </c>
      <c r="M46" s="88" t="str">
        <f t="shared" si="3"/>
        <v>-</v>
      </c>
      <c r="N46" s="80"/>
      <c r="O46" s="85"/>
      <c r="P46" s="85"/>
      <c r="Q46" s="87">
        <f t="shared" si="25"/>
        <v>0</v>
      </c>
      <c r="R46" s="88" t="str">
        <f t="shared" si="5"/>
        <v>-</v>
      </c>
      <c r="S46" s="564"/>
      <c r="T46" s="85"/>
      <c r="U46" s="85"/>
      <c r="V46" s="87">
        <f t="shared" si="27"/>
        <v>0</v>
      </c>
      <c r="W46" s="561" t="str">
        <f t="shared" si="7"/>
        <v>-</v>
      </c>
      <c r="X46" s="676"/>
    </row>
    <row r="47" spans="1:24" ht="15.6" customHeight="1" x14ac:dyDescent="0.2">
      <c r="A47" s="89">
        <v>21000</v>
      </c>
      <c r="B47" s="95" t="s">
        <v>467</v>
      </c>
      <c r="C47" s="91">
        <f>C3+C19+C34+C44+C45+C46</f>
        <v>341159.26999999559</v>
      </c>
      <c r="D47" s="91">
        <f>D3+D19+D34+D44+D45+D46</f>
        <v>7428.2699999955948</v>
      </c>
      <c r="E47" s="91">
        <f>E3+E19+E34+E44+E45+E46</f>
        <v>10380.269999995595</v>
      </c>
      <c r="F47" s="91">
        <f>F3+F19+F34+F44+F45+F46</f>
        <v>805242.37999999616</v>
      </c>
      <c r="G47" s="92">
        <f t="shared" si="22"/>
        <v>794862.11000000057</v>
      </c>
      <c r="H47" s="28">
        <f t="shared" si="1"/>
        <v>76.57431935781419</v>
      </c>
      <c r="I47" s="796" t="s">
        <v>468</v>
      </c>
      <c r="J47" s="91">
        <f>J3+J19+J34+J44+J45+J46</f>
        <v>16541.269999995595</v>
      </c>
      <c r="K47" s="91">
        <f>K3+K19+K34+K44+K45+K46</f>
        <v>707503.67999999598</v>
      </c>
      <c r="L47" s="92">
        <f t="shared" si="23"/>
        <v>690962.41000000038</v>
      </c>
      <c r="M47" s="28">
        <f t="shared" si="3"/>
        <v>41.772028991739113</v>
      </c>
      <c r="N47" s="799" t="s">
        <v>469</v>
      </c>
      <c r="O47" s="91">
        <f>O3+O19+O34+O44+O45+O46</f>
        <v>53.269999995594844</v>
      </c>
      <c r="P47" s="91">
        <f>P3+P19+P34+P44+P45+P46</f>
        <v>882905.10999999801</v>
      </c>
      <c r="Q47" s="92">
        <f t="shared" si="25"/>
        <v>882851.84000000241</v>
      </c>
      <c r="R47" s="295">
        <f t="shared" si="5"/>
        <v>16573.152620105309</v>
      </c>
      <c r="S47" s="793" t="s">
        <v>470</v>
      </c>
      <c r="T47" s="562">
        <f>T3+T19+T34+T44+T45+T46</f>
        <v>7428.2699999955948</v>
      </c>
      <c r="U47" s="91">
        <f>U3+U19+U34+U44+U45+U46</f>
        <v>1217329.8099999893</v>
      </c>
      <c r="V47" s="92">
        <f t="shared" si="27"/>
        <v>1209901.5399999938</v>
      </c>
      <c r="W47" s="295">
        <f t="shared" si="7"/>
        <v>162.87797024081129</v>
      </c>
      <c r="X47" s="790" t="s">
        <v>471</v>
      </c>
    </row>
    <row r="48" spans="1:24" ht="15.6" customHeight="1" x14ac:dyDescent="0.2">
      <c r="A48" s="413">
        <v>21100</v>
      </c>
      <c r="B48" s="84" t="s">
        <v>472</v>
      </c>
      <c r="C48" s="85"/>
      <c r="D48" s="86"/>
      <c r="E48" s="85"/>
      <c r="F48" s="85"/>
      <c r="G48" s="87">
        <f t="shared" si="22"/>
        <v>0</v>
      </c>
      <c r="H48" s="88" t="str">
        <f t="shared" si="1"/>
        <v>-</v>
      </c>
      <c r="I48" s="797"/>
      <c r="J48" s="85"/>
      <c r="K48" s="85"/>
      <c r="L48" s="87">
        <f t="shared" si="23"/>
        <v>0</v>
      </c>
      <c r="M48" s="88" t="str">
        <f t="shared" si="3"/>
        <v>-</v>
      </c>
      <c r="N48" s="800"/>
      <c r="O48" s="85"/>
      <c r="P48" s="85"/>
      <c r="Q48" s="87">
        <f>P48-O48</f>
        <v>0</v>
      </c>
      <c r="R48" s="561" t="str">
        <f>IFERROR(Q48/ABS(O48), "-")</f>
        <v>-</v>
      </c>
      <c r="S48" s="794"/>
      <c r="T48" s="563"/>
      <c r="U48" s="85"/>
      <c r="V48" s="87">
        <f t="shared" si="27"/>
        <v>0</v>
      </c>
      <c r="W48" s="561" t="str">
        <f t="shared" si="7"/>
        <v>-</v>
      </c>
      <c r="X48" s="791"/>
    </row>
    <row r="49" spans="1:27" ht="15.6" customHeight="1" x14ac:dyDescent="0.2">
      <c r="A49" s="413">
        <v>21200</v>
      </c>
      <c r="B49" s="84" t="s">
        <v>473</v>
      </c>
      <c r="C49" s="85">
        <v>168152.34</v>
      </c>
      <c r="D49" s="85"/>
      <c r="E49" s="85"/>
      <c r="F49" s="85">
        <v>168152.34</v>
      </c>
      <c r="G49" s="87">
        <f t="shared" si="22"/>
        <v>168152.34</v>
      </c>
      <c r="H49" s="88" t="str">
        <f t="shared" si="1"/>
        <v>-</v>
      </c>
      <c r="I49" s="797"/>
      <c r="J49" s="85"/>
      <c r="K49" s="85">
        <v>168152.34</v>
      </c>
      <c r="L49" s="87">
        <f t="shared" si="23"/>
        <v>168152.34</v>
      </c>
      <c r="M49" s="88" t="str">
        <f t="shared" si="3"/>
        <v>-</v>
      </c>
      <c r="N49" s="800"/>
      <c r="O49" s="85"/>
      <c r="P49" s="85">
        <v>168152.34</v>
      </c>
      <c r="Q49" s="87">
        <f>P49-O49</f>
        <v>168152.34</v>
      </c>
      <c r="R49" s="561" t="str">
        <f>IFERROR(Q49/ABS(O49), "-")</f>
        <v>-</v>
      </c>
      <c r="S49" s="794"/>
      <c r="T49" s="563"/>
      <c r="U49" s="85">
        <v>396697.53</v>
      </c>
      <c r="V49" s="87">
        <f t="shared" si="27"/>
        <v>396697.53</v>
      </c>
      <c r="W49" s="561" t="str">
        <f t="shared" si="7"/>
        <v>-</v>
      </c>
      <c r="X49" s="791"/>
    </row>
    <row r="50" spans="1:27" ht="15.6" customHeight="1" x14ac:dyDescent="0.2">
      <c r="A50" s="413">
        <v>21300</v>
      </c>
      <c r="B50" s="84" t="s">
        <v>474</v>
      </c>
      <c r="C50" s="85"/>
      <c r="D50" s="86"/>
      <c r="E50" s="85"/>
      <c r="F50" s="85"/>
      <c r="G50" s="87">
        <f t="shared" si="22"/>
        <v>0</v>
      </c>
      <c r="H50" s="88" t="str">
        <f t="shared" si="1"/>
        <v>-</v>
      </c>
      <c r="I50" s="797"/>
      <c r="J50" s="85"/>
      <c r="K50" s="85"/>
      <c r="L50" s="87">
        <f t="shared" si="23"/>
        <v>0</v>
      </c>
      <c r="M50" s="88" t="str">
        <f t="shared" si="3"/>
        <v>-</v>
      </c>
      <c r="N50" s="800"/>
      <c r="O50" s="85"/>
      <c r="P50" s="85"/>
      <c r="Q50" s="87">
        <f t="shared" si="25"/>
        <v>0</v>
      </c>
      <c r="R50" s="561" t="str">
        <f t="shared" si="5"/>
        <v>-</v>
      </c>
      <c r="S50" s="794"/>
      <c r="T50" s="563"/>
      <c r="U50" s="85"/>
      <c r="V50" s="87">
        <f t="shared" si="27"/>
        <v>0</v>
      </c>
      <c r="W50" s="561" t="str">
        <f t="shared" si="7"/>
        <v>-</v>
      </c>
      <c r="X50" s="791"/>
    </row>
    <row r="51" spans="1:27" ht="15.6" customHeight="1" x14ac:dyDescent="0.2">
      <c r="A51" s="413">
        <v>21400</v>
      </c>
      <c r="B51" s="84" t="s">
        <v>475</v>
      </c>
      <c r="C51" s="85">
        <v>1180.4100000000001</v>
      </c>
      <c r="D51" s="85"/>
      <c r="E51" s="85"/>
      <c r="F51" s="85">
        <v>1184.8499999999999</v>
      </c>
      <c r="G51" s="87">
        <f t="shared" si="22"/>
        <v>1184.8499999999999</v>
      </c>
      <c r="H51" s="88" t="str">
        <f t="shared" si="1"/>
        <v>-</v>
      </c>
      <c r="I51" s="797"/>
      <c r="J51" s="85"/>
      <c r="K51" s="85">
        <v>1184.8499999999999</v>
      </c>
      <c r="L51" s="87">
        <f t="shared" si="23"/>
        <v>1184.8499999999999</v>
      </c>
      <c r="M51" s="88" t="str">
        <f t="shared" si="3"/>
        <v>-</v>
      </c>
      <c r="N51" s="800"/>
      <c r="O51" s="85"/>
      <c r="P51" s="85">
        <v>771.29</v>
      </c>
      <c r="Q51" s="87">
        <f t="shared" si="25"/>
        <v>771.29</v>
      </c>
      <c r="R51" s="561" t="str">
        <f t="shared" si="5"/>
        <v>-</v>
      </c>
      <c r="S51" s="794"/>
      <c r="T51" s="563"/>
      <c r="U51" s="85">
        <v>170883.61</v>
      </c>
      <c r="V51" s="87">
        <f t="shared" si="27"/>
        <v>170883.61</v>
      </c>
      <c r="W51" s="561" t="str">
        <f t="shared" si="7"/>
        <v>-</v>
      </c>
      <c r="X51" s="791"/>
    </row>
    <row r="52" spans="1:27" ht="15.6" customHeight="1" x14ac:dyDescent="0.2">
      <c r="A52" s="413">
        <v>21500</v>
      </c>
      <c r="B52" s="84" t="s">
        <v>476</v>
      </c>
      <c r="C52" s="85">
        <v>171826</v>
      </c>
      <c r="D52" s="85">
        <v>7428</v>
      </c>
      <c r="E52" s="85">
        <v>10380</v>
      </c>
      <c r="F52" s="85">
        <v>635905</v>
      </c>
      <c r="G52" s="87">
        <f t="shared" si="22"/>
        <v>625525</v>
      </c>
      <c r="H52" s="88">
        <f t="shared" si="1"/>
        <v>60.26252408477842</v>
      </c>
      <c r="I52" s="797"/>
      <c r="J52" s="85">
        <v>16541</v>
      </c>
      <c r="K52" s="85">
        <v>538166.74</v>
      </c>
      <c r="L52" s="87">
        <f t="shared" si="23"/>
        <v>521625.74</v>
      </c>
      <c r="M52" s="88">
        <f t="shared" si="3"/>
        <v>31.535320718215342</v>
      </c>
      <c r="N52" s="800"/>
      <c r="O52" s="85">
        <v>53</v>
      </c>
      <c r="P52" s="85">
        <v>713981.2</v>
      </c>
      <c r="Q52" s="87">
        <f t="shared" si="25"/>
        <v>713928.2</v>
      </c>
      <c r="R52" s="561">
        <f t="shared" si="5"/>
        <v>13470.343396226413</v>
      </c>
      <c r="S52" s="794"/>
      <c r="T52" s="563">
        <v>7428</v>
      </c>
      <c r="U52" s="85">
        <f>646248+3500.67</f>
        <v>649748.67000000004</v>
      </c>
      <c r="V52" s="87">
        <f t="shared" si="27"/>
        <v>642320.67000000004</v>
      </c>
      <c r="W52" s="561">
        <f t="shared" si="7"/>
        <v>86.472895799676905</v>
      </c>
      <c r="X52" s="791"/>
    </row>
    <row r="53" spans="1:27" ht="15.6" customHeight="1" x14ac:dyDescent="0.2">
      <c r="A53" s="413">
        <v>21600</v>
      </c>
      <c r="B53" s="84" t="s">
        <v>477</v>
      </c>
      <c r="C53" s="85"/>
      <c r="D53" s="86"/>
      <c r="E53" s="85"/>
      <c r="F53" s="85"/>
      <c r="G53" s="87">
        <f t="shared" si="22"/>
        <v>0</v>
      </c>
      <c r="H53" s="88" t="str">
        <f t="shared" si="1"/>
        <v>-</v>
      </c>
      <c r="I53" s="797"/>
      <c r="J53" s="85"/>
      <c r="K53" s="85"/>
      <c r="L53" s="87">
        <f t="shared" si="23"/>
        <v>0</v>
      </c>
      <c r="M53" s="88" t="str">
        <f t="shared" si="3"/>
        <v>-</v>
      </c>
      <c r="N53" s="800"/>
      <c r="O53" s="85"/>
      <c r="P53" s="85"/>
      <c r="Q53" s="87">
        <f t="shared" si="25"/>
        <v>0</v>
      </c>
      <c r="R53" s="561" t="str">
        <f t="shared" si="5"/>
        <v>-</v>
      </c>
      <c r="S53" s="794"/>
      <c r="T53" s="563"/>
      <c r="U53" s="85"/>
      <c r="V53" s="87">
        <f t="shared" si="27"/>
        <v>0</v>
      </c>
      <c r="W53" s="678" t="str">
        <f t="shared" si="7"/>
        <v>-</v>
      </c>
      <c r="X53" s="791"/>
    </row>
    <row r="54" spans="1:27" ht="77.25" customHeight="1" x14ac:dyDescent="0.2">
      <c r="A54" s="413">
        <v>21700</v>
      </c>
      <c r="B54" s="84" t="s">
        <v>478</v>
      </c>
      <c r="C54" s="85"/>
      <c r="D54" s="86"/>
      <c r="E54" s="85"/>
      <c r="F54" s="85"/>
      <c r="G54" s="87">
        <f t="shared" si="22"/>
        <v>0</v>
      </c>
      <c r="H54" s="88" t="str">
        <f t="shared" si="1"/>
        <v>-</v>
      </c>
      <c r="I54" s="798"/>
      <c r="J54" s="85"/>
      <c r="K54" s="85"/>
      <c r="L54" s="87">
        <f t="shared" si="23"/>
        <v>0</v>
      </c>
      <c r="M54" s="88" t="str">
        <f t="shared" si="3"/>
        <v>-</v>
      </c>
      <c r="N54" s="801"/>
      <c r="O54" s="85"/>
      <c r="P54" s="85"/>
      <c r="Q54" s="87">
        <f t="shared" si="25"/>
        <v>0</v>
      </c>
      <c r="R54" s="561" t="str">
        <f t="shared" si="5"/>
        <v>-</v>
      </c>
      <c r="S54" s="794"/>
      <c r="T54" s="563"/>
      <c r="U54" s="85"/>
      <c r="V54" s="680">
        <f t="shared" si="27"/>
        <v>0</v>
      </c>
      <c r="W54" s="679" t="str">
        <f t="shared" si="7"/>
        <v>-</v>
      </c>
      <c r="X54" s="791"/>
      <c r="AA54" s="31" t="s">
        <v>842</v>
      </c>
    </row>
    <row r="55" spans="1:27" x14ac:dyDescent="0.25">
      <c r="A55" s="414"/>
      <c r="B55" s="415"/>
      <c r="C55" s="156"/>
      <c r="D55" s="416"/>
      <c r="E55" s="156"/>
      <c r="F55" s="156"/>
      <c r="G55" s="157"/>
      <c r="H55" s="158"/>
      <c r="I55" s="159"/>
      <c r="J55" s="156"/>
      <c r="K55" s="156"/>
      <c r="L55" s="157"/>
      <c r="M55" s="158"/>
      <c r="N55" s="159"/>
      <c r="O55" s="156"/>
      <c r="P55" s="156"/>
      <c r="Q55" s="157"/>
      <c r="R55" s="158"/>
      <c r="S55" s="159"/>
      <c r="T55" s="156"/>
      <c r="U55" s="156"/>
      <c r="V55" s="157"/>
      <c r="W55" s="158"/>
      <c r="X55" s="683"/>
    </row>
    <row r="56" spans="1:27" x14ac:dyDescent="0.2">
      <c r="A56" s="29" t="s">
        <v>271</v>
      </c>
      <c r="B56" s="34"/>
      <c r="C56" s="34"/>
      <c r="D56" s="34"/>
      <c r="E56" s="34"/>
      <c r="F56" s="34"/>
      <c r="G56" s="38"/>
      <c r="H56" s="38"/>
      <c r="I56" s="34"/>
      <c r="J56" s="34"/>
      <c r="K56" s="34"/>
      <c r="L56" s="38"/>
      <c r="M56" s="38"/>
      <c r="N56" s="34"/>
      <c r="O56" s="34"/>
      <c r="P56" s="156"/>
      <c r="Q56" s="157"/>
      <c r="R56" s="158"/>
      <c r="S56" s="159"/>
      <c r="T56" s="156"/>
      <c r="U56" s="156"/>
      <c r="V56" s="157"/>
      <c r="W56" s="158"/>
      <c r="X56" s="677"/>
    </row>
    <row r="57" spans="1:27" ht="36.6" customHeight="1" x14ac:dyDescent="0.2">
      <c r="A57" s="792" t="s">
        <v>479</v>
      </c>
      <c r="B57" s="792"/>
      <c r="C57" s="792"/>
      <c r="D57" s="792"/>
      <c r="E57" s="792"/>
      <c r="F57" s="792"/>
      <c r="G57" s="792"/>
      <c r="H57" s="41"/>
      <c r="I57" s="41"/>
      <c r="J57" s="41"/>
      <c r="K57" s="41"/>
      <c r="L57" s="41"/>
      <c r="M57" s="41"/>
      <c r="N57" s="41"/>
      <c r="O57" s="41"/>
      <c r="X57" s="677"/>
    </row>
    <row r="58" spans="1:27" x14ac:dyDescent="0.2">
      <c r="X58" s="677"/>
    </row>
    <row r="59" spans="1:27" x14ac:dyDescent="0.2">
      <c r="X59" s="677"/>
    </row>
    <row r="60" spans="1:27" x14ac:dyDescent="0.2">
      <c r="X60" s="677"/>
    </row>
    <row r="61" spans="1:27" x14ac:dyDescent="0.2">
      <c r="X61" s="677"/>
    </row>
    <row r="62" spans="1:27" x14ac:dyDescent="0.2">
      <c r="X62" s="677"/>
    </row>
    <row r="63" spans="1:27" x14ac:dyDescent="0.2">
      <c r="X63" s="677"/>
    </row>
    <row r="64" spans="1:27" x14ac:dyDescent="0.2">
      <c r="X64" s="677"/>
    </row>
    <row r="65" spans="24:24" x14ac:dyDescent="0.2">
      <c r="X65" s="677"/>
    </row>
    <row r="66" spans="24:24" x14ac:dyDescent="0.2">
      <c r="X66" s="677"/>
    </row>
    <row r="67" spans="24:24" x14ac:dyDescent="0.2">
      <c r="X67" s="677"/>
    </row>
  </sheetData>
  <sheetProtection formatColumns="0" formatRows="0" insertRows="0" deleteRows="0"/>
  <mergeCells count="8">
    <mergeCell ref="X47:X54"/>
    <mergeCell ref="A57:G57"/>
    <mergeCell ref="S47:S54"/>
    <mergeCell ref="B4:G4"/>
    <mergeCell ref="B20:G20"/>
    <mergeCell ref="B35:G35"/>
    <mergeCell ref="I47:I54"/>
    <mergeCell ref="N47:N54"/>
  </mergeCells>
  <pageMargins left="0.23622047244094491" right="0.23622047244094491" top="0.74803149606299213" bottom="0.74803149606299213" header="0.31496062992125984" footer="0.31496062992125984"/>
  <pageSetup paperSize="9" scale="34" fitToHeight="0" orientation="landscape" r:id="rId1"/>
  <headerFooter>
    <oddHeader>&amp;C&amp;"Times New Roman,Bold"&amp;14Naudas plūsmas pārskats&amp;R&amp;"Times New Roman,Regular"&amp;14 4.pielikums</oddHeader>
    <oddFooter>&amp;C&amp;"Times New Roman,Regular"&amp;12&amp;F&amp;R&amp;"Times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pageSetUpPr fitToPage="1"/>
  </sheetPr>
  <dimension ref="A1:AK105"/>
  <sheetViews>
    <sheetView tabSelected="1" zoomScale="90" zoomScaleNormal="90" zoomScaleSheetLayoutView="90" zoomScalePageLayoutView="40" workbookViewId="0">
      <pane xSplit="7" ySplit="8" topLeftCell="R18" activePane="bottomRight" state="frozen"/>
      <selection pane="topRight" activeCell="H1" sqref="H1"/>
      <selection pane="bottomLeft" activeCell="A9" sqref="A9"/>
      <selection pane="bottomRight" activeCell="U23" sqref="U23"/>
    </sheetView>
  </sheetViews>
  <sheetFormatPr defaultColWidth="9.140625" defaultRowHeight="18.75" outlineLevelCol="1" x14ac:dyDescent="0.2"/>
  <cols>
    <col min="1" max="1" width="9.5703125" style="10" customWidth="1"/>
    <col min="2" max="2" width="50.28515625" style="10" customWidth="1"/>
    <col min="3" max="3" width="15.85546875" style="10" customWidth="1"/>
    <col min="4" max="4" width="15.5703125" style="11" customWidth="1"/>
    <col min="5" max="5" width="22" style="10" hidden="1" customWidth="1"/>
    <col min="6" max="6" width="20.5703125" style="10" hidden="1" customWidth="1" outlineLevel="1"/>
    <col min="7" max="7" width="22.5703125" style="10" hidden="1" customWidth="1" outlineLevel="1"/>
    <col min="8" max="8" width="19.28515625" style="13" hidden="1" customWidth="1" outlineLevel="1"/>
    <col min="9" max="9" width="72.85546875" style="13" hidden="1" customWidth="1" outlineLevel="1"/>
    <col min="10" max="10" width="22" style="10" hidden="1" customWidth="1" collapsed="1"/>
    <col min="11" max="11" width="20.5703125" style="10" hidden="1" customWidth="1" outlineLevel="1"/>
    <col min="12" max="12" width="22.5703125" style="10" hidden="1" customWidth="1" outlineLevel="1"/>
    <col min="13" max="13" width="19.28515625" style="13" hidden="1" customWidth="1" outlineLevel="1"/>
    <col min="14" max="14" width="26.42578125" style="13" hidden="1" customWidth="1" outlineLevel="1"/>
    <col min="15" max="15" width="22" style="10" hidden="1" customWidth="1" collapsed="1"/>
    <col min="16" max="16" width="20.5703125" style="10" hidden="1" customWidth="1" outlineLevel="1"/>
    <col min="17" max="17" width="22.5703125" style="10" hidden="1" customWidth="1" outlineLevel="1"/>
    <col min="18" max="18" width="19.28515625" style="13" hidden="1" customWidth="1" outlineLevel="1"/>
    <col min="19" max="19" width="26.42578125" style="13" hidden="1" customWidth="1" outlineLevel="1"/>
    <col min="20" max="20" width="22" style="10" hidden="1" customWidth="1" collapsed="1"/>
    <col min="21" max="21" width="20.5703125" style="10" customWidth="1" outlineLevel="1"/>
    <col min="22" max="22" width="22.5703125" style="10" customWidth="1" outlineLevel="1"/>
    <col min="23" max="23" width="19.28515625" style="13" customWidth="1" outlineLevel="1"/>
    <col min="24" max="24" width="26.42578125" style="13" customWidth="1" outlineLevel="1"/>
    <col min="25" max="16384" width="9.140625" style="10"/>
  </cols>
  <sheetData>
    <row r="1" spans="1:24" ht="63" x14ac:dyDescent="0.2">
      <c r="A1" s="76" t="s">
        <v>0</v>
      </c>
      <c r="B1" s="162" t="s">
        <v>480</v>
      </c>
      <c r="C1" s="23" t="s">
        <v>2</v>
      </c>
      <c r="D1" s="23" t="s">
        <v>3</v>
      </c>
      <c r="E1" s="23" t="s">
        <v>4</v>
      </c>
      <c r="F1" s="23" t="s">
        <v>481</v>
      </c>
      <c r="G1" s="24" t="s">
        <v>6</v>
      </c>
      <c r="H1" s="25" t="s">
        <v>7</v>
      </c>
      <c r="I1" s="23" t="s">
        <v>482</v>
      </c>
      <c r="J1" s="23" t="s">
        <v>9</v>
      </c>
      <c r="K1" s="23" t="s">
        <v>10</v>
      </c>
      <c r="L1" s="24" t="s">
        <v>6</v>
      </c>
      <c r="M1" s="25" t="s">
        <v>7</v>
      </c>
      <c r="N1" s="23" t="s">
        <v>482</v>
      </c>
      <c r="O1" s="23" t="s">
        <v>280</v>
      </c>
      <c r="P1" s="23" t="s">
        <v>281</v>
      </c>
      <c r="Q1" s="24" t="s">
        <v>6</v>
      </c>
      <c r="R1" s="25" t="s">
        <v>7</v>
      </c>
      <c r="S1" s="23" t="s">
        <v>482</v>
      </c>
      <c r="T1" s="23" t="s">
        <v>11</v>
      </c>
      <c r="U1" s="23" t="s">
        <v>282</v>
      </c>
      <c r="V1" s="24" t="s">
        <v>6</v>
      </c>
      <c r="W1" s="25" t="s">
        <v>7</v>
      </c>
      <c r="X1" s="23" t="s">
        <v>482</v>
      </c>
    </row>
    <row r="2" spans="1:24" ht="12" customHeight="1" x14ac:dyDescent="0.2">
      <c r="A2" s="32">
        <v>1</v>
      </c>
      <c r="B2" s="23">
        <v>2</v>
      </c>
      <c r="C2" s="23">
        <v>3</v>
      </c>
      <c r="D2" s="23">
        <v>4</v>
      </c>
      <c r="E2" s="23">
        <v>5</v>
      </c>
      <c r="F2" s="23">
        <v>6</v>
      </c>
      <c r="G2" s="24">
        <v>7</v>
      </c>
      <c r="H2" s="26">
        <v>8</v>
      </c>
      <c r="I2" s="23">
        <v>9</v>
      </c>
      <c r="J2" s="23">
        <v>10</v>
      </c>
      <c r="K2" s="23">
        <v>11</v>
      </c>
      <c r="L2" s="24">
        <v>12</v>
      </c>
      <c r="M2" s="26">
        <v>13</v>
      </c>
      <c r="N2" s="23">
        <v>14</v>
      </c>
      <c r="O2" s="23">
        <v>15</v>
      </c>
      <c r="P2" s="23">
        <v>16</v>
      </c>
      <c r="Q2" s="24">
        <v>17</v>
      </c>
      <c r="R2" s="26">
        <v>18</v>
      </c>
      <c r="S2" s="23">
        <v>19</v>
      </c>
      <c r="T2" s="23">
        <v>20</v>
      </c>
      <c r="U2" s="23">
        <v>21</v>
      </c>
      <c r="V2" s="24">
        <v>22</v>
      </c>
      <c r="W2" s="26">
        <v>23</v>
      </c>
      <c r="X2" s="23">
        <v>24</v>
      </c>
    </row>
    <row r="3" spans="1:24" ht="18" customHeight="1" x14ac:dyDescent="0.2">
      <c r="A3" s="266" t="s">
        <v>483</v>
      </c>
      <c r="B3" s="267" t="s">
        <v>484</v>
      </c>
      <c r="C3" s="268" t="s">
        <v>485</v>
      </c>
      <c r="D3" s="269" t="s">
        <v>485</v>
      </c>
      <c r="E3" s="269" t="s">
        <v>485</v>
      </c>
      <c r="F3" s="270" t="s">
        <v>485</v>
      </c>
      <c r="G3" s="351" t="s">
        <v>485</v>
      </c>
      <c r="H3" s="271" t="s">
        <v>485</v>
      </c>
      <c r="I3" s="271" t="s">
        <v>485</v>
      </c>
      <c r="J3" s="269" t="s">
        <v>485</v>
      </c>
      <c r="K3" s="270" t="s">
        <v>485</v>
      </c>
      <c r="L3" s="270" t="s">
        <v>485</v>
      </c>
      <c r="M3" s="271" t="s">
        <v>485</v>
      </c>
      <c r="N3" s="271" t="s">
        <v>485</v>
      </c>
      <c r="O3" s="269" t="s">
        <v>485</v>
      </c>
      <c r="P3" s="270" t="s">
        <v>485</v>
      </c>
      <c r="Q3" s="270" t="s">
        <v>485</v>
      </c>
      <c r="R3" s="271" t="s">
        <v>485</v>
      </c>
      <c r="S3" s="271" t="s">
        <v>485</v>
      </c>
      <c r="T3" s="269" t="s">
        <v>485</v>
      </c>
      <c r="U3" s="270" t="s">
        <v>485</v>
      </c>
      <c r="V3" s="270" t="s">
        <v>485</v>
      </c>
      <c r="W3" s="271" t="s">
        <v>485</v>
      </c>
      <c r="X3" s="271" t="s">
        <v>485</v>
      </c>
    </row>
    <row r="4" spans="1:24" ht="51" customHeight="1" x14ac:dyDescent="0.2">
      <c r="A4" s="181" t="s">
        <v>486</v>
      </c>
      <c r="B4" s="102" t="s">
        <v>487</v>
      </c>
      <c r="C4" s="182" t="s">
        <v>485</v>
      </c>
      <c r="D4" s="183" t="s">
        <v>485</v>
      </c>
      <c r="E4" s="183" t="s">
        <v>485</v>
      </c>
      <c r="F4" s="183" t="s">
        <v>485</v>
      </c>
      <c r="G4" s="93" t="s">
        <v>485</v>
      </c>
      <c r="H4" s="92" t="s">
        <v>485</v>
      </c>
      <c r="I4" s="92" t="s">
        <v>485</v>
      </c>
      <c r="J4" s="183" t="s">
        <v>485</v>
      </c>
      <c r="K4" s="183" t="s">
        <v>485</v>
      </c>
      <c r="L4" s="183" t="s">
        <v>485</v>
      </c>
      <c r="M4" s="92" t="s">
        <v>485</v>
      </c>
      <c r="N4" s="92" t="s">
        <v>485</v>
      </c>
      <c r="O4" s="183" t="s">
        <v>485</v>
      </c>
      <c r="P4" s="183" t="s">
        <v>485</v>
      </c>
      <c r="Q4" s="183" t="s">
        <v>485</v>
      </c>
      <c r="R4" s="183" t="s">
        <v>485</v>
      </c>
      <c r="S4" s="92" t="s">
        <v>485</v>
      </c>
      <c r="T4" s="183" t="s">
        <v>485</v>
      </c>
      <c r="U4" s="183" t="s">
        <v>485</v>
      </c>
      <c r="V4" s="183" t="s">
        <v>485</v>
      </c>
      <c r="W4" s="92" t="s">
        <v>485</v>
      </c>
      <c r="X4" s="92" t="s">
        <v>485</v>
      </c>
    </row>
    <row r="5" spans="1:24" ht="33" customHeight="1" x14ac:dyDescent="0.2">
      <c r="A5" s="184" t="s">
        <v>488</v>
      </c>
      <c r="B5" s="185" t="s">
        <v>489</v>
      </c>
      <c r="C5" s="186">
        <v>27751</v>
      </c>
      <c r="D5" s="186">
        <v>28343</v>
      </c>
      <c r="E5" s="53">
        <v>6312</v>
      </c>
      <c r="F5" s="53">
        <v>6513</v>
      </c>
      <c r="G5" s="349">
        <f t="shared" ref="G5:G40" si="0">F5-E5</f>
        <v>201</v>
      </c>
      <c r="H5" s="350">
        <f t="shared" ref="H5:H40" si="1">IFERROR(G5/ABS(E5), "-")</f>
        <v>3.1844106463878329E-2</v>
      </c>
      <c r="I5" s="187"/>
      <c r="J5" s="53">
        <v>13776</v>
      </c>
      <c r="K5" s="53">
        <v>13606</v>
      </c>
      <c r="L5" s="54">
        <f>K5-J5</f>
        <v>-170</v>
      </c>
      <c r="M5" s="55">
        <f>L5/J5</f>
        <v>-1.2340301974448315E-2</v>
      </c>
      <c r="N5" s="187"/>
      <c r="O5" s="53">
        <v>21814</v>
      </c>
      <c r="P5" s="53">
        <v>20883</v>
      </c>
      <c r="Q5" s="59">
        <f t="shared" ref="Q5:Q40" si="2">P5-O5</f>
        <v>-931</v>
      </c>
      <c r="R5" s="55">
        <f t="shared" ref="R5:R40" si="3">IFERROR(Q5/ABS(O5), "-")</f>
        <v>-4.2679013477583204E-2</v>
      </c>
      <c r="S5" s="187"/>
      <c r="T5" s="53">
        <v>28343</v>
      </c>
      <c r="U5" s="53">
        <v>27123</v>
      </c>
      <c r="V5" s="54">
        <f>U5-T5</f>
        <v>-1220</v>
      </c>
      <c r="W5" s="55">
        <f>IFERROR(V5/ABS(T5), "-")</f>
        <v>-4.3044137882369542E-2</v>
      </c>
      <c r="X5" s="187"/>
    </row>
    <row r="6" spans="1:24" ht="50.1" customHeight="1" x14ac:dyDescent="0.2">
      <c r="A6" s="184" t="s">
        <v>490</v>
      </c>
      <c r="B6" s="188" t="s">
        <v>491</v>
      </c>
      <c r="C6" s="115">
        <v>24093</v>
      </c>
      <c r="D6" s="115">
        <v>24575</v>
      </c>
      <c r="E6" s="58">
        <v>5327</v>
      </c>
      <c r="F6" s="58">
        <v>5572</v>
      </c>
      <c r="G6" s="349">
        <f t="shared" si="0"/>
        <v>245</v>
      </c>
      <c r="H6" s="350">
        <f t="shared" si="1"/>
        <v>4.5992115637319315E-2</v>
      </c>
      <c r="I6" s="187"/>
      <c r="J6" s="58">
        <v>11944</v>
      </c>
      <c r="K6" s="58">
        <v>11814</v>
      </c>
      <c r="L6" s="54">
        <f t="shared" ref="L6:L14" si="4">K6-J6</f>
        <v>-130</v>
      </c>
      <c r="M6" s="55">
        <f t="shared" ref="M6:M14" si="5">L6/J6</f>
        <v>-1.0884125920964501E-2</v>
      </c>
      <c r="N6" s="187"/>
      <c r="O6" s="58">
        <v>18981</v>
      </c>
      <c r="P6" s="58">
        <v>18208</v>
      </c>
      <c r="Q6" s="59">
        <f t="shared" si="2"/>
        <v>-773</v>
      </c>
      <c r="R6" s="55">
        <f t="shared" si="3"/>
        <v>-4.0724935461777564E-2</v>
      </c>
      <c r="S6" s="187"/>
      <c r="T6" s="58">
        <v>24575</v>
      </c>
      <c r="U6" s="58">
        <v>23441</v>
      </c>
      <c r="V6" s="59">
        <f t="shared" ref="V6:V14" si="6">U6-T6</f>
        <v>-1134</v>
      </c>
      <c r="W6" s="55">
        <f t="shared" ref="W6:W14" si="7">IFERROR(V6/ABS(T6), "-")</f>
        <v>-4.6144455747711088E-2</v>
      </c>
      <c r="X6" s="187"/>
    </row>
    <row r="7" spans="1:24" ht="32.1" customHeight="1" x14ac:dyDescent="0.2">
      <c r="A7" s="184" t="s">
        <v>492</v>
      </c>
      <c r="B7" s="188" t="s">
        <v>493</v>
      </c>
      <c r="C7" s="115">
        <v>3658</v>
      </c>
      <c r="D7" s="115">
        <v>3768</v>
      </c>
      <c r="E7" s="58">
        <v>985</v>
      </c>
      <c r="F7" s="58">
        <v>941</v>
      </c>
      <c r="G7" s="349">
        <f t="shared" si="0"/>
        <v>-44</v>
      </c>
      <c r="H7" s="350">
        <f t="shared" si="1"/>
        <v>-4.4670050761421318E-2</v>
      </c>
      <c r="I7" s="187"/>
      <c r="J7" s="58">
        <v>1832</v>
      </c>
      <c r="K7" s="58">
        <v>1792</v>
      </c>
      <c r="L7" s="54">
        <f>K7-J7</f>
        <v>-40</v>
      </c>
      <c r="M7" s="55">
        <f t="shared" si="5"/>
        <v>-2.1834061135371178E-2</v>
      </c>
      <c r="N7" s="187"/>
      <c r="O7" s="58">
        <v>2833</v>
      </c>
      <c r="P7" s="78">
        <v>2675</v>
      </c>
      <c r="Q7" s="59">
        <f t="shared" si="2"/>
        <v>-158</v>
      </c>
      <c r="R7" s="55">
        <f t="shared" si="3"/>
        <v>-5.5771267207906809E-2</v>
      </c>
      <c r="S7" s="187"/>
      <c r="T7" s="58">
        <v>3768</v>
      </c>
      <c r="U7" s="58">
        <v>3682</v>
      </c>
      <c r="V7" s="59">
        <f t="shared" si="6"/>
        <v>-86</v>
      </c>
      <c r="W7" s="55">
        <f t="shared" si="7"/>
        <v>-2.2823779193205943E-2</v>
      </c>
      <c r="X7" s="187"/>
    </row>
    <row r="8" spans="1:24" ht="32.1" customHeight="1" x14ac:dyDescent="0.2">
      <c r="A8" s="184" t="s">
        <v>494</v>
      </c>
      <c r="B8" s="188" t="s">
        <v>495</v>
      </c>
      <c r="C8" s="189">
        <v>0</v>
      </c>
      <c r="D8" s="189">
        <v>0</v>
      </c>
      <c r="E8" s="53">
        <v>0</v>
      </c>
      <c r="F8" s="53">
        <v>0</v>
      </c>
      <c r="G8" s="349">
        <f t="shared" si="0"/>
        <v>0</v>
      </c>
      <c r="H8" s="350" t="str">
        <f t="shared" si="1"/>
        <v>-</v>
      </c>
      <c r="I8" s="187"/>
      <c r="J8" s="53">
        <v>0</v>
      </c>
      <c r="K8" s="53"/>
      <c r="L8" s="54">
        <f t="shared" si="4"/>
        <v>0</v>
      </c>
      <c r="M8" s="55" t="e">
        <f t="shared" si="5"/>
        <v>#DIV/0!</v>
      </c>
      <c r="N8" s="187"/>
      <c r="O8" s="53">
        <v>0</v>
      </c>
      <c r="P8" s="53"/>
      <c r="Q8" s="59">
        <f t="shared" si="2"/>
        <v>0</v>
      </c>
      <c r="R8" s="55" t="str">
        <f t="shared" si="3"/>
        <v>-</v>
      </c>
      <c r="S8" s="187"/>
      <c r="T8" s="53">
        <v>0</v>
      </c>
      <c r="U8" s="53">
        <v>0</v>
      </c>
      <c r="V8" s="54">
        <f t="shared" si="6"/>
        <v>0</v>
      </c>
      <c r="W8" s="55" t="str">
        <f t="shared" si="7"/>
        <v>-</v>
      </c>
      <c r="X8" s="187"/>
    </row>
    <row r="9" spans="1:24" ht="31.5" customHeight="1" x14ac:dyDescent="0.2">
      <c r="A9" s="190" t="s">
        <v>496</v>
      </c>
      <c r="B9" s="191" t="s">
        <v>497</v>
      </c>
      <c r="C9" s="115"/>
      <c r="D9" s="115"/>
      <c r="E9" s="58"/>
      <c r="F9" s="58"/>
      <c r="G9" s="349">
        <f t="shared" si="0"/>
        <v>0</v>
      </c>
      <c r="H9" s="350" t="str">
        <f t="shared" si="1"/>
        <v>-</v>
      </c>
      <c r="I9" s="187"/>
      <c r="J9" s="58"/>
      <c r="K9" s="58"/>
      <c r="L9" s="54">
        <f t="shared" si="4"/>
        <v>0</v>
      </c>
      <c r="M9" s="55" t="e">
        <f t="shared" si="5"/>
        <v>#DIV/0!</v>
      </c>
      <c r="N9" s="187"/>
      <c r="O9" s="58"/>
      <c r="P9" s="58"/>
      <c r="Q9" s="59">
        <f t="shared" si="2"/>
        <v>0</v>
      </c>
      <c r="R9" s="55" t="str">
        <f t="shared" si="3"/>
        <v>-</v>
      </c>
      <c r="S9" s="187"/>
      <c r="T9" s="58"/>
      <c r="U9" s="58"/>
      <c r="V9" s="59">
        <f t="shared" si="6"/>
        <v>0</v>
      </c>
      <c r="W9" s="55" t="str">
        <f t="shared" si="7"/>
        <v>-</v>
      </c>
      <c r="X9" s="187"/>
    </row>
    <row r="10" spans="1:24" ht="30.95" customHeight="1" x14ac:dyDescent="0.2">
      <c r="A10" s="190" t="s">
        <v>498</v>
      </c>
      <c r="B10" s="191" t="s">
        <v>499</v>
      </c>
      <c r="C10" s="115"/>
      <c r="D10" s="115"/>
      <c r="E10" s="58"/>
      <c r="F10" s="58"/>
      <c r="G10" s="349">
        <f t="shared" si="0"/>
        <v>0</v>
      </c>
      <c r="H10" s="350" t="str">
        <f t="shared" si="1"/>
        <v>-</v>
      </c>
      <c r="I10" s="187"/>
      <c r="J10" s="58"/>
      <c r="K10" s="58"/>
      <c r="L10" s="54">
        <f t="shared" si="4"/>
        <v>0</v>
      </c>
      <c r="M10" s="55" t="e">
        <f t="shared" si="5"/>
        <v>#DIV/0!</v>
      </c>
      <c r="N10" s="187"/>
      <c r="O10" s="58"/>
      <c r="P10" s="58"/>
      <c r="Q10" s="59">
        <f t="shared" si="2"/>
        <v>0</v>
      </c>
      <c r="R10" s="55" t="str">
        <f t="shared" si="3"/>
        <v>-</v>
      </c>
      <c r="S10" s="187"/>
      <c r="T10" s="58"/>
      <c r="U10" s="58"/>
      <c r="V10" s="59">
        <f t="shared" si="6"/>
        <v>0</v>
      </c>
      <c r="W10" s="55" t="str">
        <f t="shared" si="7"/>
        <v>-</v>
      </c>
      <c r="X10" s="187"/>
    </row>
    <row r="11" spans="1:24" ht="35.450000000000003" customHeight="1" x14ac:dyDescent="0.2">
      <c r="A11" s="184" t="s">
        <v>500</v>
      </c>
      <c r="B11" s="192" t="s">
        <v>501</v>
      </c>
      <c r="C11" s="193">
        <v>3658</v>
      </c>
      <c r="D11" s="193">
        <v>3768</v>
      </c>
      <c r="E11" s="193">
        <v>985</v>
      </c>
      <c r="F11" s="193">
        <v>941</v>
      </c>
      <c r="G11" s="349">
        <f t="shared" si="0"/>
        <v>-44</v>
      </c>
      <c r="H11" s="350">
        <f t="shared" si="1"/>
        <v>-4.4670050761421318E-2</v>
      </c>
      <c r="I11" s="187"/>
      <c r="J11" s="193">
        <v>1832</v>
      </c>
      <c r="K11" s="193">
        <v>1792</v>
      </c>
      <c r="L11" s="54">
        <f t="shared" si="4"/>
        <v>-40</v>
      </c>
      <c r="M11" s="55">
        <f t="shared" si="5"/>
        <v>-2.1834061135371178E-2</v>
      </c>
      <c r="N11" s="187"/>
      <c r="O11" s="193">
        <v>2833</v>
      </c>
      <c r="P11" s="193">
        <v>2675</v>
      </c>
      <c r="Q11" s="59">
        <f t="shared" si="2"/>
        <v>-158</v>
      </c>
      <c r="R11" s="55">
        <f t="shared" si="3"/>
        <v>-5.5771267207906809E-2</v>
      </c>
      <c r="S11" s="187"/>
      <c r="T11" s="193">
        <v>3768</v>
      </c>
      <c r="U11" s="193">
        <v>3682</v>
      </c>
      <c r="V11" s="194">
        <f t="shared" si="6"/>
        <v>-86</v>
      </c>
      <c r="W11" s="55">
        <f t="shared" si="7"/>
        <v>-2.2823779193205943E-2</v>
      </c>
      <c r="X11" s="187"/>
    </row>
    <row r="12" spans="1:24" ht="32.1" customHeight="1" x14ac:dyDescent="0.2">
      <c r="A12" s="184" t="s">
        <v>502</v>
      </c>
      <c r="B12" s="192" t="s">
        <v>503</v>
      </c>
      <c r="C12" s="195">
        <v>13.18</v>
      </c>
      <c r="D12" s="195">
        <v>13.29</v>
      </c>
      <c r="E12" s="195">
        <v>15.61</v>
      </c>
      <c r="F12" s="195">
        <v>14.45</v>
      </c>
      <c r="G12" s="349">
        <f t="shared" si="0"/>
        <v>-1.1600000000000001</v>
      </c>
      <c r="H12" s="350">
        <f t="shared" si="1"/>
        <v>-7.4311338885329925E-2</v>
      </c>
      <c r="I12" s="187"/>
      <c r="J12" s="195">
        <v>13.3</v>
      </c>
      <c r="K12" s="195">
        <v>13.17</v>
      </c>
      <c r="L12" s="54">
        <f t="shared" si="4"/>
        <v>-0.13000000000000078</v>
      </c>
      <c r="M12" s="55">
        <f t="shared" si="5"/>
        <v>-9.7744360902256213E-3</v>
      </c>
      <c r="N12" s="187"/>
      <c r="O12" s="195">
        <v>12.99</v>
      </c>
      <c r="P12" s="195">
        <v>12.81</v>
      </c>
      <c r="Q12" s="59">
        <f t="shared" si="2"/>
        <v>-0.17999999999999972</v>
      </c>
      <c r="R12" s="55">
        <f>IFERROR(Q12/ABS(O12), "-")</f>
        <v>-1.3856812933025382E-2</v>
      </c>
      <c r="S12" s="187"/>
      <c r="T12" s="195">
        <v>13.29</v>
      </c>
      <c r="U12" s="195">
        <v>13.58</v>
      </c>
      <c r="V12" s="196">
        <f t="shared" si="6"/>
        <v>0.29000000000000092</v>
      </c>
      <c r="W12" s="55">
        <f t="shared" si="7"/>
        <v>2.1820917983446271E-2</v>
      </c>
      <c r="X12" s="187"/>
    </row>
    <row r="13" spans="1:24" ht="18" customHeight="1" x14ac:dyDescent="0.2">
      <c r="A13" s="184" t="s">
        <v>504</v>
      </c>
      <c r="B13" s="192" t="s">
        <v>505</v>
      </c>
      <c r="C13" s="197"/>
      <c r="D13" s="197"/>
      <c r="E13" s="197"/>
      <c r="F13" s="197"/>
      <c r="G13" s="349">
        <f t="shared" si="0"/>
        <v>0</v>
      </c>
      <c r="H13" s="350" t="str">
        <f t="shared" si="1"/>
        <v>-</v>
      </c>
      <c r="I13" s="187"/>
      <c r="J13" s="197"/>
      <c r="K13" s="197"/>
      <c r="L13" s="54">
        <f t="shared" si="4"/>
        <v>0</v>
      </c>
      <c r="M13" s="55" t="e">
        <f t="shared" si="5"/>
        <v>#DIV/0!</v>
      </c>
      <c r="N13" s="187"/>
      <c r="O13" s="197"/>
      <c r="P13" s="197"/>
      <c r="Q13" s="59">
        <f t="shared" si="2"/>
        <v>0</v>
      </c>
      <c r="R13" s="55" t="str">
        <f t="shared" si="3"/>
        <v>-</v>
      </c>
      <c r="S13" s="187"/>
      <c r="T13" s="197"/>
      <c r="U13" s="197"/>
      <c r="V13" s="198">
        <f t="shared" si="6"/>
        <v>0</v>
      </c>
      <c r="W13" s="55" t="str">
        <f t="shared" si="7"/>
        <v>-</v>
      </c>
      <c r="X13" s="187"/>
    </row>
    <row r="14" spans="1:24" ht="34.5" customHeight="1" x14ac:dyDescent="0.2">
      <c r="A14" s="184" t="s">
        <v>506</v>
      </c>
      <c r="B14" s="192" t="s">
        <v>507</v>
      </c>
      <c r="C14" s="195">
        <v>0</v>
      </c>
      <c r="D14" s="195">
        <v>0</v>
      </c>
      <c r="E14" s="195">
        <v>0</v>
      </c>
      <c r="F14" s="195">
        <v>0</v>
      </c>
      <c r="G14" s="349">
        <f t="shared" si="0"/>
        <v>0</v>
      </c>
      <c r="H14" s="350" t="str">
        <f t="shared" si="1"/>
        <v>-</v>
      </c>
      <c r="I14" s="187"/>
      <c r="J14" s="195">
        <v>0</v>
      </c>
      <c r="K14" s="195"/>
      <c r="L14" s="54">
        <f t="shared" si="4"/>
        <v>0</v>
      </c>
      <c r="M14" s="55" t="e">
        <f t="shared" si="5"/>
        <v>#DIV/0!</v>
      </c>
      <c r="N14" s="187"/>
      <c r="O14" s="195">
        <v>0</v>
      </c>
      <c r="P14" s="195"/>
      <c r="Q14" s="59">
        <f t="shared" si="2"/>
        <v>0</v>
      </c>
      <c r="R14" s="55" t="str">
        <f t="shared" si="3"/>
        <v>-</v>
      </c>
      <c r="S14" s="187"/>
      <c r="T14" s="195">
        <v>0</v>
      </c>
      <c r="U14" s="195"/>
      <c r="V14" s="196">
        <f t="shared" si="6"/>
        <v>0</v>
      </c>
      <c r="W14" s="55" t="str">
        <f t="shared" si="7"/>
        <v>-</v>
      </c>
      <c r="X14" s="187"/>
    </row>
    <row r="15" spans="1:24" ht="18" customHeight="1" x14ac:dyDescent="0.2">
      <c r="A15" s="266" t="s">
        <v>508</v>
      </c>
      <c r="B15" s="272" t="s">
        <v>509</v>
      </c>
      <c r="C15" s="273" t="s">
        <v>485</v>
      </c>
      <c r="D15" s="273" t="s">
        <v>485</v>
      </c>
      <c r="E15" s="269" t="s">
        <v>485</v>
      </c>
      <c r="F15" s="270" t="s">
        <v>485</v>
      </c>
      <c r="G15" s="269" t="s">
        <v>485</v>
      </c>
      <c r="H15" s="270" t="s">
        <v>485</v>
      </c>
      <c r="I15" s="271" t="s">
        <v>485</v>
      </c>
      <c r="J15" s="269" t="s">
        <v>485</v>
      </c>
      <c r="K15" s="270" t="s">
        <v>485</v>
      </c>
      <c r="L15" s="270" t="s">
        <v>485</v>
      </c>
      <c r="M15" s="271" t="s">
        <v>485</v>
      </c>
      <c r="N15" s="271" t="s">
        <v>485</v>
      </c>
      <c r="O15" s="269" t="s">
        <v>485</v>
      </c>
      <c r="P15" s="270" t="s">
        <v>485</v>
      </c>
      <c r="Q15" s="269" t="s">
        <v>485</v>
      </c>
      <c r="R15" s="270" t="s">
        <v>485</v>
      </c>
      <c r="S15" s="271" t="s">
        <v>485</v>
      </c>
      <c r="T15" s="269"/>
      <c r="U15" s="270" t="s">
        <v>485</v>
      </c>
      <c r="V15" s="270" t="s">
        <v>485</v>
      </c>
      <c r="W15" s="271" t="s">
        <v>485</v>
      </c>
      <c r="X15" s="271" t="s">
        <v>485</v>
      </c>
    </row>
    <row r="16" spans="1:24" ht="18" customHeight="1" x14ac:dyDescent="0.2">
      <c r="A16" s="201" t="s">
        <v>510</v>
      </c>
      <c r="B16" s="202" t="s">
        <v>511</v>
      </c>
      <c r="C16" s="203">
        <v>220</v>
      </c>
      <c r="D16" s="203">
        <v>220</v>
      </c>
      <c r="E16" s="204">
        <v>220</v>
      </c>
      <c r="F16" s="204">
        <v>220</v>
      </c>
      <c r="G16" s="349">
        <f t="shared" si="0"/>
        <v>0</v>
      </c>
      <c r="H16" s="350">
        <f t="shared" si="1"/>
        <v>0</v>
      </c>
      <c r="I16" s="187"/>
      <c r="J16" s="204">
        <v>220</v>
      </c>
      <c r="K16" s="204">
        <v>220</v>
      </c>
      <c r="L16" s="205">
        <f>K16-J16</f>
        <v>0</v>
      </c>
      <c r="M16" s="55">
        <f>L16/J16</f>
        <v>0</v>
      </c>
      <c r="N16" s="187"/>
      <c r="O16" s="204">
        <v>220</v>
      </c>
      <c r="P16" s="204">
        <v>220</v>
      </c>
      <c r="Q16" s="59">
        <f t="shared" si="2"/>
        <v>0</v>
      </c>
      <c r="R16" s="55">
        <f t="shared" si="3"/>
        <v>0</v>
      </c>
      <c r="S16" s="187"/>
      <c r="T16" s="204">
        <v>220</v>
      </c>
      <c r="U16" s="204">
        <v>220</v>
      </c>
      <c r="V16" s="205">
        <f t="shared" ref="V16:V30" si="8">U16-T16</f>
        <v>0</v>
      </c>
      <c r="W16" s="55">
        <f t="shared" ref="W16:W30" si="9">IFERROR(V16/ABS(T16), "-")</f>
        <v>0</v>
      </c>
      <c r="X16" s="187"/>
    </row>
    <row r="17" spans="1:24" ht="18" customHeight="1" x14ac:dyDescent="0.2">
      <c r="A17" s="201" t="s">
        <v>512</v>
      </c>
      <c r="B17" s="15" t="s">
        <v>513</v>
      </c>
      <c r="C17" s="206">
        <v>46100</v>
      </c>
      <c r="D17" s="206">
        <v>47483</v>
      </c>
      <c r="E17" s="204">
        <v>12449</v>
      </c>
      <c r="F17" s="204">
        <v>11875</v>
      </c>
      <c r="G17" s="349">
        <f>F17-E17</f>
        <v>-574</v>
      </c>
      <c r="H17" s="350">
        <f t="shared" si="1"/>
        <v>-4.6108121134227652E-2</v>
      </c>
      <c r="I17" s="187"/>
      <c r="J17" s="204">
        <v>23016</v>
      </c>
      <c r="K17" s="204">
        <v>21825</v>
      </c>
      <c r="L17" s="205">
        <f t="shared" ref="L17:L30" si="10">K17-J17</f>
        <v>-1191</v>
      </c>
      <c r="M17" s="55">
        <f t="shared" ref="M17:M30" si="11">L17/J17</f>
        <v>-5.1746611053180396E-2</v>
      </c>
      <c r="N17" s="187"/>
      <c r="O17" s="204">
        <v>34754</v>
      </c>
      <c r="P17" s="204">
        <v>32968</v>
      </c>
      <c r="Q17" s="59">
        <f t="shared" si="2"/>
        <v>-1786</v>
      </c>
      <c r="R17" s="55">
        <f t="shared" si="3"/>
        <v>-5.1389768084249297E-2</v>
      </c>
      <c r="S17" s="187"/>
      <c r="T17" s="204">
        <v>47483</v>
      </c>
      <c r="U17" s="204">
        <v>44384</v>
      </c>
      <c r="V17" s="59">
        <f t="shared" si="8"/>
        <v>-3099</v>
      </c>
      <c r="W17" s="55">
        <f t="shared" si="9"/>
        <v>-6.5265463429016707E-2</v>
      </c>
      <c r="X17" s="187"/>
    </row>
    <row r="18" spans="1:24" ht="47.25" x14ac:dyDescent="0.2">
      <c r="A18" s="207" t="s">
        <v>514</v>
      </c>
      <c r="B18" s="14" t="s">
        <v>515</v>
      </c>
      <c r="C18" s="171">
        <v>543.75648590021694</v>
      </c>
      <c r="D18" s="171">
        <f>27084008/D17</f>
        <v>570.39378303813999</v>
      </c>
      <c r="E18" s="17">
        <f>6195365/E17</f>
        <v>497.65965137762072</v>
      </c>
      <c r="F18" s="17">
        <f>6373031/F17</f>
        <v>536.67629473684212</v>
      </c>
      <c r="G18" s="349">
        <f>F18-E18</f>
        <v>39.016643359221405</v>
      </c>
      <c r="H18" s="350">
        <f t="shared" si="1"/>
        <v>7.8400254574015782E-2</v>
      </c>
      <c r="I18" s="208"/>
      <c r="J18" s="17">
        <f>12471255/J17</f>
        <v>541.8515380604797</v>
      </c>
      <c r="K18" s="17">
        <f>13305620/K17</f>
        <v>609.65040091638025</v>
      </c>
      <c r="L18" s="205">
        <f t="shared" si="10"/>
        <v>67.798862855900552</v>
      </c>
      <c r="M18" s="55">
        <f t="shared" si="11"/>
        <v>0.12512442633010126</v>
      </c>
      <c r="N18" s="208"/>
      <c r="O18" s="17">
        <f>19226618/O17</f>
        <v>553.22029118950331</v>
      </c>
      <c r="P18" s="17">
        <f>21500522/P17</f>
        <v>652.1633705411308</v>
      </c>
      <c r="Q18" s="59">
        <f t="shared" si="2"/>
        <v>98.943079351627489</v>
      </c>
      <c r="R18" s="55">
        <f t="shared" si="3"/>
        <v>0.17884933168103001</v>
      </c>
      <c r="S18" s="443" t="s">
        <v>516</v>
      </c>
      <c r="T18" s="171">
        <f>27084008/T17</f>
        <v>570.39378303813999</v>
      </c>
      <c r="U18" s="17">
        <f>29312452/U17</f>
        <v>660.42835255948091</v>
      </c>
      <c r="V18" s="64">
        <f t="shared" si="8"/>
        <v>90.034569521340927</v>
      </c>
      <c r="W18" s="69">
        <f t="shared" si="9"/>
        <v>0.15784633738779841</v>
      </c>
      <c r="X18" s="443" t="s">
        <v>517</v>
      </c>
    </row>
    <row r="19" spans="1:24" ht="18" customHeight="1" x14ac:dyDescent="0.2">
      <c r="A19" s="207" t="s">
        <v>518</v>
      </c>
      <c r="B19" s="14" t="s">
        <v>519</v>
      </c>
      <c r="C19" s="171">
        <v>583.62971800433843</v>
      </c>
      <c r="D19" s="171">
        <f>27669875/D17</f>
        <v>582.7322410125729</v>
      </c>
      <c r="E19" s="17">
        <f>8792336/E17</f>
        <v>706.26845529761431</v>
      </c>
      <c r="F19" s="17">
        <f>8454297/F17</f>
        <v>711.94079999999997</v>
      </c>
      <c r="G19" s="349">
        <f t="shared" si="0"/>
        <v>5.6723447023856579</v>
      </c>
      <c r="H19" s="350">
        <f t="shared" si="1"/>
        <v>8.0314286442191296E-3</v>
      </c>
      <c r="I19" s="208"/>
      <c r="J19" s="17">
        <f>16482519/J17</f>
        <v>716.13308133472367</v>
      </c>
      <c r="K19" s="17">
        <f>14194648/K17</f>
        <v>650.38478808705611</v>
      </c>
      <c r="L19" s="205">
        <f t="shared" si="10"/>
        <v>-65.748293247667561</v>
      </c>
      <c r="M19" s="55">
        <f t="shared" si="11"/>
        <v>-9.181016065495308E-2</v>
      </c>
      <c r="N19" s="208"/>
      <c r="O19" s="17">
        <f>24231946/O17</f>
        <v>697.24192898659146</v>
      </c>
      <c r="P19" s="17">
        <f>20145601.57/P17</f>
        <v>611.06532304052416</v>
      </c>
      <c r="Q19" s="59">
        <f t="shared" si="2"/>
        <v>-86.176605946067298</v>
      </c>
      <c r="R19" s="55">
        <f t="shared" si="3"/>
        <v>-0.12359641949720518</v>
      </c>
      <c r="S19" s="208"/>
      <c r="T19" s="171">
        <f>33302449/T17</f>
        <v>701.35520080871049</v>
      </c>
      <c r="U19" s="17">
        <f>28017870.47/U17</f>
        <v>631.26059999098777</v>
      </c>
      <c r="V19" s="64">
        <f t="shared" si="8"/>
        <v>-70.094600817722721</v>
      </c>
      <c r="W19" s="69">
        <f t="shared" si="9"/>
        <v>-9.9941656862170339E-2</v>
      </c>
      <c r="X19" s="208"/>
    </row>
    <row r="20" spans="1:24" ht="18" customHeight="1" x14ac:dyDescent="0.2">
      <c r="A20" s="201" t="s">
        <v>520</v>
      </c>
      <c r="B20" s="209" t="s">
        <v>521</v>
      </c>
      <c r="C20" s="203">
        <v>7495</v>
      </c>
      <c r="D20" s="203">
        <v>7720</v>
      </c>
      <c r="E20" s="204">
        <v>2149</v>
      </c>
      <c r="F20" s="204">
        <v>2029</v>
      </c>
      <c r="G20" s="349">
        <f t="shared" si="0"/>
        <v>-120</v>
      </c>
      <c r="H20" s="350">
        <f t="shared" si="1"/>
        <v>-5.5839925546765937E-2</v>
      </c>
      <c r="I20" s="187"/>
      <c r="J20" s="204">
        <v>3894</v>
      </c>
      <c r="K20" s="204">
        <v>3859</v>
      </c>
      <c r="L20" s="205">
        <f t="shared" si="10"/>
        <v>-35</v>
      </c>
      <c r="M20" s="55">
        <f t="shared" si="11"/>
        <v>-8.9881869542886485E-3</v>
      </c>
      <c r="N20" s="187"/>
      <c r="O20" s="204">
        <v>5754</v>
      </c>
      <c r="P20" s="204">
        <v>5661</v>
      </c>
      <c r="Q20" s="59">
        <f t="shared" si="2"/>
        <v>-93</v>
      </c>
      <c r="R20" s="55">
        <f t="shared" si="3"/>
        <v>-1.6162669447340981E-2</v>
      </c>
      <c r="S20" s="187"/>
      <c r="T20" s="204">
        <v>7720</v>
      </c>
      <c r="U20" s="204">
        <v>7473</v>
      </c>
      <c r="V20" s="59">
        <f t="shared" si="8"/>
        <v>-247</v>
      </c>
      <c r="W20" s="55">
        <f t="shared" si="9"/>
        <v>-3.1994818652849741E-2</v>
      </c>
      <c r="X20" s="187"/>
    </row>
    <row r="21" spans="1:24" ht="18" customHeight="1" x14ac:dyDescent="0.2">
      <c r="A21" s="386" t="s">
        <v>522</v>
      </c>
      <c r="B21" s="387" t="s">
        <v>523</v>
      </c>
      <c r="C21" s="388">
        <v>7242</v>
      </c>
      <c r="D21" s="388">
        <v>7459.26</v>
      </c>
      <c r="E21" s="17">
        <v>2070</v>
      </c>
      <c r="F21" s="17">
        <v>1966</v>
      </c>
      <c r="G21" s="349">
        <f t="shared" si="0"/>
        <v>-104</v>
      </c>
      <c r="H21" s="350">
        <f t="shared" si="1"/>
        <v>-5.0241545893719805E-2</v>
      </c>
      <c r="I21" s="208"/>
      <c r="J21" s="17">
        <v>3752</v>
      </c>
      <c r="K21" s="17">
        <v>3756</v>
      </c>
      <c r="L21" s="205">
        <f t="shared" si="10"/>
        <v>4</v>
      </c>
      <c r="M21" s="55">
        <f t="shared" si="11"/>
        <v>1.0660980810234541E-3</v>
      </c>
      <c r="N21" s="208"/>
      <c r="O21" s="17">
        <v>5549</v>
      </c>
      <c r="P21" s="17">
        <v>5510</v>
      </c>
      <c r="Q21" s="59">
        <f t="shared" si="2"/>
        <v>-39</v>
      </c>
      <c r="R21" s="55">
        <f t="shared" si="3"/>
        <v>-7.0282933861957105E-3</v>
      </c>
      <c r="S21" s="208"/>
      <c r="T21" s="17">
        <v>7459.26</v>
      </c>
      <c r="U21" s="17">
        <v>7266</v>
      </c>
      <c r="V21" s="79">
        <f t="shared" si="8"/>
        <v>-193.26000000000022</v>
      </c>
      <c r="W21" s="69">
        <f t="shared" si="9"/>
        <v>-2.5908736255339029E-2</v>
      </c>
      <c r="X21" s="208"/>
    </row>
    <row r="22" spans="1:24" ht="18" customHeight="1" x14ac:dyDescent="0.2">
      <c r="A22" s="207" t="s">
        <v>524</v>
      </c>
      <c r="B22" s="389" t="s">
        <v>525</v>
      </c>
      <c r="C22" s="388">
        <v>3837</v>
      </c>
      <c r="D22" s="388">
        <v>3952</v>
      </c>
      <c r="E22" s="17">
        <v>1164</v>
      </c>
      <c r="F22" s="17">
        <v>1088</v>
      </c>
      <c r="G22" s="349">
        <f t="shared" si="0"/>
        <v>-76</v>
      </c>
      <c r="H22" s="350">
        <f t="shared" si="1"/>
        <v>-6.5292096219931275E-2</v>
      </c>
      <c r="I22" s="208"/>
      <c r="J22" s="17">
        <v>2062</v>
      </c>
      <c r="K22" s="17">
        <v>2067</v>
      </c>
      <c r="L22" s="205">
        <f t="shared" si="10"/>
        <v>5</v>
      </c>
      <c r="M22" s="55">
        <f t="shared" si="11"/>
        <v>2.4248302618816685E-3</v>
      </c>
      <c r="N22" s="208"/>
      <c r="O22" s="17">
        <v>2921</v>
      </c>
      <c r="P22" s="17">
        <v>2986</v>
      </c>
      <c r="Q22" s="59">
        <f t="shared" si="2"/>
        <v>65</v>
      </c>
      <c r="R22" s="55">
        <f t="shared" si="3"/>
        <v>2.2252653200958577E-2</v>
      </c>
      <c r="S22" s="208"/>
      <c r="T22" s="17">
        <v>3952</v>
      </c>
      <c r="U22" s="17">
        <v>3791</v>
      </c>
      <c r="V22" s="79">
        <f t="shared" si="8"/>
        <v>-161</v>
      </c>
      <c r="W22" s="69">
        <f t="shared" si="9"/>
        <v>-4.0738866396761136E-2</v>
      </c>
      <c r="X22" s="208"/>
    </row>
    <row r="23" spans="1:24" ht="18" customHeight="1" x14ac:dyDescent="0.2">
      <c r="A23" s="386" t="s">
        <v>526</v>
      </c>
      <c r="B23" s="387" t="s">
        <v>527</v>
      </c>
      <c r="C23" s="388">
        <v>3605</v>
      </c>
      <c r="D23" s="388">
        <v>3713</v>
      </c>
      <c r="E23" s="17">
        <v>1089</v>
      </c>
      <c r="F23" s="17">
        <v>1037</v>
      </c>
      <c r="G23" s="349">
        <f t="shared" si="0"/>
        <v>-52</v>
      </c>
      <c r="H23" s="350">
        <f t="shared" si="1"/>
        <v>-4.7750229568411386E-2</v>
      </c>
      <c r="I23" s="208"/>
      <c r="J23" s="17">
        <v>1933</v>
      </c>
      <c r="K23" s="17">
        <v>1985</v>
      </c>
      <c r="L23" s="205">
        <f t="shared" si="10"/>
        <v>52</v>
      </c>
      <c r="M23" s="55">
        <f t="shared" si="11"/>
        <v>2.6901189860320744E-2</v>
      </c>
      <c r="N23" s="208"/>
      <c r="O23" s="17">
        <v>2737</v>
      </c>
      <c r="P23" s="17">
        <v>2862</v>
      </c>
      <c r="Q23" s="59">
        <f t="shared" si="2"/>
        <v>125</v>
      </c>
      <c r="R23" s="55">
        <f t="shared" si="3"/>
        <v>4.5670442089879429E-2</v>
      </c>
      <c r="S23" s="208"/>
      <c r="T23" s="17">
        <v>3713</v>
      </c>
      <c r="U23" s="17">
        <v>3616</v>
      </c>
      <c r="V23" s="79">
        <f t="shared" si="8"/>
        <v>-97</v>
      </c>
      <c r="W23" s="69">
        <f t="shared" si="9"/>
        <v>-2.6124427686506867E-2</v>
      </c>
      <c r="X23" s="208"/>
    </row>
    <row r="24" spans="1:24" ht="18" customHeight="1" x14ac:dyDescent="0.2">
      <c r="A24" s="210" t="s">
        <v>528</v>
      </c>
      <c r="B24" s="209" t="s">
        <v>529</v>
      </c>
      <c r="C24" s="203">
        <v>3658</v>
      </c>
      <c r="D24" s="203">
        <v>3768</v>
      </c>
      <c r="E24" s="204">
        <v>985</v>
      </c>
      <c r="F24" s="204">
        <v>941</v>
      </c>
      <c r="G24" s="349">
        <f t="shared" si="0"/>
        <v>-44</v>
      </c>
      <c r="H24" s="350">
        <f t="shared" si="1"/>
        <v>-4.4670050761421318E-2</v>
      </c>
      <c r="I24" s="187"/>
      <c r="J24" s="204">
        <v>1832</v>
      </c>
      <c r="K24" s="204">
        <v>1792</v>
      </c>
      <c r="L24" s="205">
        <f t="shared" si="10"/>
        <v>-40</v>
      </c>
      <c r="M24" s="55">
        <f t="shared" si="11"/>
        <v>-2.1834061135371178E-2</v>
      </c>
      <c r="N24" s="187"/>
      <c r="O24" s="204">
        <v>2833</v>
      </c>
      <c r="P24" s="204">
        <v>2675</v>
      </c>
      <c r="Q24" s="59">
        <f t="shared" si="2"/>
        <v>-158</v>
      </c>
      <c r="R24" s="55">
        <f t="shared" si="3"/>
        <v>-5.5771267207906809E-2</v>
      </c>
      <c r="S24" s="187"/>
      <c r="T24" s="204">
        <v>3768</v>
      </c>
      <c r="U24" s="204">
        <v>3682</v>
      </c>
      <c r="V24" s="59">
        <f t="shared" si="8"/>
        <v>-86</v>
      </c>
      <c r="W24" s="55">
        <f t="shared" si="9"/>
        <v>-2.2823779193205943E-2</v>
      </c>
      <c r="X24" s="187"/>
    </row>
    <row r="25" spans="1:24" ht="18" customHeight="1" x14ac:dyDescent="0.2">
      <c r="A25" s="210" t="s">
        <v>530</v>
      </c>
      <c r="B25" s="211" t="s">
        <v>531</v>
      </c>
      <c r="C25" s="203">
        <v>3637</v>
      </c>
      <c r="D25" s="203">
        <v>3746</v>
      </c>
      <c r="E25" s="204">
        <v>981</v>
      </c>
      <c r="F25" s="204">
        <v>929</v>
      </c>
      <c r="G25" s="349">
        <f t="shared" si="0"/>
        <v>-52</v>
      </c>
      <c r="H25" s="350">
        <f t="shared" si="1"/>
        <v>-5.3007135575942915E-2</v>
      </c>
      <c r="I25" s="187"/>
      <c r="J25" s="204">
        <v>1819</v>
      </c>
      <c r="K25" s="204">
        <v>1771</v>
      </c>
      <c r="L25" s="205">
        <f t="shared" si="10"/>
        <v>-48</v>
      </c>
      <c r="M25" s="55">
        <f t="shared" si="11"/>
        <v>-2.6388125343595383E-2</v>
      </c>
      <c r="N25" s="187"/>
      <c r="O25" s="204">
        <v>2812</v>
      </c>
      <c r="P25" s="204">
        <v>2648</v>
      </c>
      <c r="Q25" s="59">
        <f t="shared" si="2"/>
        <v>-164</v>
      </c>
      <c r="R25" s="55">
        <f t="shared" si="3"/>
        <v>-5.8321479374110953E-2</v>
      </c>
      <c r="S25" s="187"/>
      <c r="T25" s="204">
        <v>3746</v>
      </c>
      <c r="U25" s="204">
        <v>3650</v>
      </c>
      <c r="V25" s="59">
        <f t="shared" si="8"/>
        <v>-96</v>
      </c>
      <c r="W25" s="55">
        <f t="shared" si="9"/>
        <v>-2.562733582487987E-2</v>
      </c>
      <c r="X25" s="187"/>
    </row>
    <row r="26" spans="1:24" ht="54" customHeight="1" x14ac:dyDescent="0.2">
      <c r="A26" s="201" t="s">
        <v>532</v>
      </c>
      <c r="B26" s="192" t="s">
        <v>533</v>
      </c>
      <c r="C26" s="212"/>
      <c r="D26" s="212"/>
      <c r="E26" s="204"/>
      <c r="F26" s="204"/>
      <c r="G26" s="349">
        <f t="shared" si="0"/>
        <v>0</v>
      </c>
      <c r="H26" s="350" t="str">
        <f t="shared" si="1"/>
        <v>-</v>
      </c>
      <c r="I26" s="187"/>
      <c r="J26" s="204"/>
      <c r="K26" s="204"/>
      <c r="L26" s="205">
        <f>K26-J26</f>
        <v>0</v>
      </c>
      <c r="M26" s="55" t="e">
        <f t="shared" si="11"/>
        <v>#DIV/0!</v>
      </c>
      <c r="N26" s="187"/>
      <c r="O26" s="204"/>
      <c r="P26" s="204"/>
      <c r="Q26" s="59">
        <f t="shared" si="2"/>
        <v>0</v>
      </c>
      <c r="R26" s="55" t="str">
        <f t="shared" si="3"/>
        <v>-</v>
      </c>
      <c r="S26" s="187"/>
      <c r="T26" s="204"/>
      <c r="U26" s="204"/>
      <c r="V26" s="59">
        <f t="shared" si="8"/>
        <v>0</v>
      </c>
      <c r="W26" s="55" t="str">
        <f t="shared" si="9"/>
        <v>-</v>
      </c>
      <c r="X26" s="187"/>
    </row>
    <row r="27" spans="1:24" ht="78.75" x14ac:dyDescent="0.25">
      <c r="A27" s="201" t="s">
        <v>534</v>
      </c>
      <c r="B27" s="192" t="s">
        <v>535</v>
      </c>
      <c r="C27" s="212">
        <v>32</v>
      </c>
      <c r="D27" s="212">
        <v>30</v>
      </c>
      <c r="E27" s="204">
        <v>4</v>
      </c>
      <c r="F27" s="204">
        <v>5</v>
      </c>
      <c r="G27" s="349">
        <f t="shared" si="0"/>
        <v>1</v>
      </c>
      <c r="H27" s="350">
        <f t="shared" si="1"/>
        <v>0.25</v>
      </c>
      <c r="I27" s="443" t="s">
        <v>536</v>
      </c>
      <c r="J27" s="204">
        <v>9</v>
      </c>
      <c r="K27" s="204">
        <v>6</v>
      </c>
      <c r="L27" s="205">
        <f t="shared" si="10"/>
        <v>-3</v>
      </c>
      <c r="M27" s="55">
        <f t="shared" si="11"/>
        <v>-0.33333333333333331</v>
      </c>
      <c r="N27" s="496" t="s">
        <v>536</v>
      </c>
      <c r="O27" s="204">
        <v>15</v>
      </c>
      <c r="P27" s="204">
        <v>12</v>
      </c>
      <c r="Q27" s="59">
        <f t="shared" si="2"/>
        <v>-3</v>
      </c>
      <c r="R27" s="55">
        <f>Q27/O27</f>
        <v>-0.2</v>
      </c>
      <c r="S27" s="496" t="s">
        <v>536</v>
      </c>
      <c r="T27" s="17">
        <v>30</v>
      </c>
      <c r="U27" s="17">
        <v>21</v>
      </c>
      <c r="V27" s="59">
        <f t="shared" si="8"/>
        <v>-9</v>
      </c>
      <c r="W27" s="55">
        <f t="shared" si="9"/>
        <v>-0.3</v>
      </c>
      <c r="X27" s="496" t="s">
        <v>536</v>
      </c>
    </row>
    <row r="28" spans="1:24" x14ac:dyDescent="0.25">
      <c r="A28" s="201" t="s">
        <v>537</v>
      </c>
      <c r="B28" s="192" t="s">
        <v>538</v>
      </c>
      <c r="C28" s="212">
        <v>17035</v>
      </c>
      <c r="D28" s="212">
        <v>17546</v>
      </c>
      <c r="E28" s="204">
        <v>4500</v>
      </c>
      <c r="F28" s="204">
        <v>4816</v>
      </c>
      <c r="G28" s="349">
        <f t="shared" si="0"/>
        <v>316</v>
      </c>
      <c r="H28" s="350">
        <f t="shared" si="1"/>
        <v>7.0222222222222228E-2</v>
      </c>
      <c r="I28" s="187"/>
      <c r="J28" s="204">
        <v>8385</v>
      </c>
      <c r="K28" s="204">
        <v>9117</v>
      </c>
      <c r="L28" s="205">
        <f t="shared" si="10"/>
        <v>732</v>
      </c>
      <c r="M28" s="55">
        <f t="shared" si="11"/>
        <v>8.7298747763864037E-2</v>
      </c>
      <c r="N28" s="497"/>
      <c r="O28" s="204">
        <v>12568</v>
      </c>
      <c r="P28" s="204">
        <v>13611</v>
      </c>
      <c r="Q28" s="59">
        <f t="shared" si="2"/>
        <v>1043</v>
      </c>
      <c r="R28" s="55">
        <f t="shared" si="3"/>
        <v>8.2988542329726286E-2</v>
      </c>
      <c r="S28" s="358"/>
      <c r="T28" s="17">
        <v>17546</v>
      </c>
      <c r="U28" s="17">
        <v>18762</v>
      </c>
      <c r="V28" s="59">
        <f t="shared" si="8"/>
        <v>1216</v>
      </c>
      <c r="W28" s="55">
        <f t="shared" si="9"/>
        <v>6.9303544967513966E-2</v>
      </c>
      <c r="X28" s="358"/>
    </row>
    <row r="29" spans="1:24" ht="18" customHeight="1" x14ac:dyDescent="0.2">
      <c r="A29" s="207" t="s">
        <v>539</v>
      </c>
      <c r="B29" s="14" t="s">
        <v>540</v>
      </c>
      <c r="C29" s="171">
        <v>6.12</v>
      </c>
      <c r="D29" s="171">
        <v>6</v>
      </c>
      <c r="E29" s="17">
        <v>6</v>
      </c>
      <c r="F29" s="17">
        <v>5.99</v>
      </c>
      <c r="G29" s="349">
        <f t="shared" si="0"/>
        <v>-9.9999999999997868E-3</v>
      </c>
      <c r="H29" s="350">
        <f t="shared" si="1"/>
        <v>-1.6666666666666312E-3</v>
      </c>
      <c r="I29" s="208"/>
      <c r="J29" s="17">
        <v>6</v>
      </c>
      <c r="K29" s="17">
        <v>5.91</v>
      </c>
      <c r="L29" s="205">
        <f t="shared" si="10"/>
        <v>-8.9999999999999858E-2</v>
      </c>
      <c r="M29" s="55">
        <f t="shared" si="11"/>
        <v>-1.4999999999999977E-2</v>
      </c>
      <c r="N29" s="208"/>
      <c r="O29" s="17">
        <v>6</v>
      </c>
      <c r="P29" s="17">
        <v>6.01</v>
      </c>
      <c r="Q29" s="59">
        <f t="shared" si="2"/>
        <v>9.9999999999997868E-3</v>
      </c>
      <c r="R29" s="55">
        <f t="shared" si="3"/>
        <v>1.6666666666666312E-3</v>
      </c>
      <c r="S29" s="208"/>
      <c r="T29" s="17">
        <v>6</v>
      </c>
      <c r="U29" s="17">
        <v>5.97</v>
      </c>
      <c r="V29" s="79">
        <f t="shared" si="8"/>
        <v>-3.0000000000000249E-2</v>
      </c>
      <c r="W29" s="69">
        <f t="shared" si="9"/>
        <v>-5.0000000000000417E-3</v>
      </c>
      <c r="X29" s="208"/>
    </row>
    <row r="30" spans="1:24" ht="18" customHeight="1" x14ac:dyDescent="0.2">
      <c r="A30" s="207" t="s">
        <v>541</v>
      </c>
      <c r="B30" s="14" t="s">
        <v>542</v>
      </c>
      <c r="C30" s="171">
        <v>57.24</v>
      </c>
      <c r="D30" s="171">
        <v>60.1</v>
      </c>
      <c r="E30" s="17">
        <v>65.44</v>
      </c>
      <c r="F30" s="17">
        <v>59.9</v>
      </c>
      <c r="G30" s="349">
        <f t="shared" si="0"/>
        <v>-5.5399999999999991</v>
      </c>
      <c r="H30" s="350">
        <f t="shared" si="1"/>
        <v>-8.4657701711491437E-2</v>
      </c>
      <c r="I30" s="208"/>
      <c r="J30" s="17">
        <v>60.5</v>
      </c>
      <c r="K30" s="17">
        <v>55.95</v>
      </c>
      <c r="L30" s="205">
        <f t="shared" si="10"/>
        <v>-4.5499999999999972</v>
      </c>
      <c r="M30" s="55">
        <f t="shared" si="11"/>
        <v>-7.5206611570247883E-2</v>
      </c>
      <c r="N30" s="208"/>
      <c r="O30" s="17">
        <v>59.75</v>
      </c>
      <c r="P30" s="17">
        <v>55.59</v>
      </c>
      <c r="Q30" s="59">
        <f t="shared" si="2"/>
        <v>-4.1599999999999966</v>
      </c>
      <c r="R30" s="55">
        <f t="shared" si="3"/>
        <v>-6.9623430962343039E-2</v>
      </c>
      <c r="S30" s="208"/>
      <c r="T30" s="17">
        <v>60.1</v>
      </c>
      <c r="U30" s="17">
        <v>55.39</v>
      </c>
      <c r="V30" s="79">
        <f t="shared" si="8"/>
        <v>-4.7100000000000009</v>
      </c>
      <c r="W30" s="69">
        <f t="shared" si="9"/>
        <v>-7.8369384359401009E-2</v>
      </c>
      <c r="X30" s="208"/>
    </row>
    <row r="31" spans="1:24" ht="18" customHeight="1" x14ac:dyDescent="0.2">
      <c r="A31" s="274" t="s">
        <v>543</v>
      </c>
      <c r="B31" s="275" t="s">
        <v>544</v>
      </c>
      <c r="C31" s="276" t="s">
        <v>485</v>
      </c>
      <c r="D31" s="269" t="s">
        <v>485</v>
      </c>
      <c r="E31" s="269" t="s">
        <v>485</v>
      </c>
      <c r="F31" s="270" t="s">
        <v>485</v>
      </c>
      <c r="G31" s="351" t="s">
        <v>485</v>
      </c>
      <c r="H31" s="352" t="s">
        <v>485</v>
      </c>
      <c r="I31" s="271" t="s">
        <v>485</v>
      </c>
      <c r="J31" s="269" t="s">
        <v>485</v>
      </c>
      <c r="K31" s="270" t="s">
        <v>485</v>
      </c>
      <c r="L31" s="270" t="s">
        <v>485</v>
      </c>
      <c r="M31" s="271" t="s">
        <v>485</v>
      </c>
      <c r="N31" s="271" t="s">
        <v>485</v>
      </c>
      <c r="O31" s="269" t="s">
        <v>485</v>
      </c>
      <c r="P31" s="270" t="s">
        <v>485</v>
      </c>
      <c r="Q31" s="269" t="s">
        <v>485</v>
      </c>
      <c r="R31" s="270" t="s">
        <v>485</v>
      </c>
      <c r="S31" s="271" t="s">
        <v>485</v>
      </c>
      <c r="T31" s="269"/>
      <c r="U31" s="270" t="s">
        <v>485</v>
      </c>
      <c r="V31" s="270" t="s">
        <v>485</v>
      </c>
      <c r="W31" s="271" t="s">
        <v>485</v>
      </c>
      <c r="X31" s="271" t="s">
        <v>485</v>
      </c>
    </row>
    <row r="32" spans="1:24" ht="18" customHeight="1" x14ac:dyDescent="0.2">
      <c r="A32" s="207" t="s">
        <v>545</v>
      </c>
      <c r="B32" s="14" t="s">
        <v>546</v>
      </c>
      <c r="C32" s="45">
        <v>114570</v>
      </c>
      <c r="D32" s="45">
        <v>116861</v>
      </c>
      <c r="E32" s="72">
        <v>29417</v>
      </c>
      <c r="F32" s="72">
        <v>29376</v>
      </c>
      <c r="G32" s="349">
        <f t="shared" si="0"/>
        <v>-41</v>
      </c>
      <c r="H32" s="350">
        <f t="shared" si="1"/>
        <v>-1.3937519121596355E-3</v>
      </c>
      <c r="I32" s="187"/>
      <c r="J32" s="72">
        <v>58107</v>
      </c>
      <c r="K32" s="72">
        <v>59027</v>
      </c>
      <c r="L32" s="54">
        <f>K32-J32</f>
        <v>920</v>
      </c>
      <c r="M32" s="55">
        <f>L32/J32</f>
        <v>1.5832860068494329E-2</v>
      </c>
      <c r="N32" s="187"/>
      <c r="O32" s="72">
        <v>88684</v>
      </c>
      <c r="P32" s="72">
        <v>87691</v>
      </c>
      <c r="Q32" s="59">
        <f t="shared" si="2"/>
        <v>-993</v>
      </c>
      <c r="R32" s="55">
        <f t="shared" si="3"/>
        <v>-1.119705922150557E-2</v>
      </c>
      <c r="S32" s="187"/>
      <c r="T32" s="72">
        <v>116861</v>
      </c>
      <c r="U32" s="72">
        <v>115291</v>
      </c>
      <c r="V32" s="54">
        <f t="shared" ref="V32:V40" si="12">U32-T32</f>
        <v>-1570</v>
      </c>
      <c r="W32" s="55">
        <f t="shared" ref="W32:W40" si="13">IFERROR(V32/ABS(T32), "-")</f>
        <v>-1.3434764378192895E-2</v>
      </c>
      <c r="X32" s="187"/>
    </row>
    <row r="33" spans="1:37" ht="18" customHeight="1" x14ac:dyDescent="0.2">
      <c r="A33" s="201" t="s">
        <v>547</v>
      </c>
      <c r="B33" s="33" t="s">
        <v>548</v>
      </c>
      <c r="C33" s="206">
        <v>92550</v>
      </c>
      <c r="D33" s="206">
        <v>94401</v>
      </c>
      <c r="E33" s="204">
        <v>23688</v>
      </c>
      <c r="F33" s="204">
        <v>23237</v>
      </c>
      <c r="G33" s="349">
        <f t="shared" si="0"/>
        <v>-451</v>
      </c>
      <c r="H33" s="350">
        <f t="shared" si="1"/>
        <v>-1.9039175954069572E-2</v>
      </c>
      <c r="I33" s="187"/>
      <c r="J33" s="204">
        <v>47101</v>
      </c>
      <c r="K33" s="204">
        <v>46964</v>
      </c>
      <c r="L33" s="54">
        <f t="shared" ref="L33:L40" si="14">K33-J33</f>
        <v>-137</v>
      </c>
      <c r="M33" s="55">
        <f t="shared" ref="M33:M40" si="15">L33/J33</f>
        <v>-2.9086431285959956E-3</v>
      </c>
      <c r="N33" s="187"/>
      <c r="O33" s="204">
        <v>71856</v>
      </c>
      <c r="P33" s="204">
        <v>70104</v>
      </c>
      <c r="Q33" s="59">
        <f t="shared" si="2"/>
        <v>-1752</v>
      </c>
      <c r="R33" s="55">
        <f t="shared" si="3"/>
        <v>-2.4382097528390115E-2</v>
      </c>
      <c r="S33" s="187"/>
      <c r="T33" s="204">
        <v>94401</v>
      </c>
      <c r="U33" s="204">
        <v>92040</v>
      </c>
      <c r="V33" s="59">
        <f t="shared" si="12"/>
        <v>-2361</v>
      </c>
      <c r="W33" s="55">
        <f t="shared" si="13"/>
        <v>-2.5010328280420758E-2</v>
      </c>
      <c r="X33" s="187"/>
    </row>
    <row r="34" spans="1:37" ht="18" customHeight="1" x14ac:dyDescent="0.2">
      <c r="A34" s="201" t="s">
        <v>549</v>
      </c>
      <c r="B34" s="214" t="s">
        <v>550</v>
      </c>
      <c r="C34" s="206">
        <v>608</v>
      </c>
      <c r="D34" s="206">
        <v>620</v>
      </c>
      <c r="E34" s="204">
        <v>171</v>
      </c>
      <c r="F34" s="204">
        <v>178</v>
      </c>
      <c r="G34" s="349">
        <f t="shared" si="0"/>
        <v>7</v>
      </c>
      <c r="H34" s="350">
        <f t="shared" si="1"/>
        <v>4.0935672514619881E-2</v>
      </c>
      <c r="I34" s="187"/>
      <c r="J34" s="204">
        <v>328</v>
      </c>
      <c r="K34" s="204">
        <v>349</v>
      </c>
      <c r="L34" s="54">
        <f t="shared" si="14"/>
        <v>21</v>
      </c>
      <c r="M34" s="55">
        <f t="shared" si="15"/>
        <v>6.402439024390244E-2</v>
      </c>
      <c r="N34" s="187"/>
      <c r="O34" s="204">
        <v>473</v>
      </c>
      <c r="P34" s="204">
        <v>499</v>
      </c>
      <c r="Q34" s="59">
        <f t="shared" si="2"/>
        <v>26</v>
      </c>
      <c r="R34" s="55">
        <f t="shared" si="3"/>
        <v>5.4968287526427059E-2</v>
      </c>
      <c r="S34" s="187"/>
      <c r="T34" s="204">
        <v>620</v>
      </c>
      <c r="U34" s="204">
        <v>642</v>
      </c>
      <c r="V34" s="59">
        <f t="shared" si="12"/>
        <v>22</v>
      </c>
      <c r="W34" s="55">
        <f t="shared" si="13"/>
        <v>3.5483870967741936E-2</v>
      </c>
      <c r="X34" s="187"/>
    </row>
    <row r="35" spans="1:37" ht="18" customHeight="1" x14ac:dyDescent="0.2">
      <c r="A35" s="201" t="s">
        <v>551</v>
      </c>
      <c r="B35" s="33" t="s">
        <v>552</v>
      </c>
      <c r="C35" s="206">
        <v>22020</v>
      </c>
      <c r="D35" s="206">
        <v>22460</v>
      </c>
      <c r="E35" s="204">
        <v>5729</v>
      </c>
      <c r="F35" s="204">
        <v>6139</v>
      </c>
      <c r="G35" s="349">
        <f t="shared" si="0"/>
        <v>410</v>
      </c>
      <c r="H35" s="350">
        <f t="shared" si="1"/>
        <v>7.156571827544074E-2</v>
      </c>
      <c r="I35" s="187"/>
      <c r="J35" s="204">
        <v>11006</v>
      </c>
      <c r="K35" s="204">
        <v>12063</v>
      </c>
      <c r="L35" s="54">
        <f t="shared" si="14"/>
        <v>1057</v>
      </c>
      <c r="M35" s="55">
        <f t="shared" si="15"/>
        <v>9.6038524441213885E-2</v>
      </c>
      <c r="N35" s="187"/>
      <c r="O35" s="204">
        <v>16828</v>
      </c>
      <c r="P35" s="204">
        <v>17587</v>
      </c>
      <c r="Q35" s="59">
        <f t="shared" si="2"/>
        <v>759</v>
      </c>
      <c r="R35" s="55">
        <f t="shared" si="3"/>
        <v>4.5103399096743525E-2</v>
      </c>
      <c r="S35" s="187"/>
      <c r="T35" s="204">
        <v>22460</v>
      </c>
      <c r="U35" s="204">
        <v>23251</v>
      </c>
      <c r="V35" s="59">
        <f t="shared" si="12"/>
        <v>791</v>
      </c>
      <c r="W35" s="55">
        <f t="shared" si="13"/>
        <v>3.5218165627782724E-2</v>
      </c>
      <c r="X35" s="187"/>
    </row>
    <row r="36" spans="1:37" ht="18" customHeight="1" x14ac:dyDescent="0.2">
      <c r="A36" s="201" t="s">
        <v>553</v>
      </c>
      <c r="B36" s="214" t="s">
        <v>550</v>
      </c>
      <c r="C36" s="206"/>
      <c r="D36" s="206"/>
      <c r="E36" s="204">
        <v>0</v>
      </c>
      <c r="F36" s="204">
        <v>0</v>
      </c>
      <c r="G36" s="349">
        <f t="shared" si="0"/>
        <v>0</v>
      </c>
      <c r="H36" s="350" t="str">
        <f t="shared" si="1"/>
        <v>-</v>
      </c>
      <c r="I36" s="187"/>
      <c r="J36" s="204"/>
      <c r="K36" s="204"/>
      <c r="L36" s="54">
        <f t="shared" si="14"/>
        <v>0</v>
      </c>
      <c r="M36" s="55" t="e">
        <f t="shared" si="15"/>
        <v>#DIV/0!</v>
      </c>
      <c r="N36" s="187"/>
      <c r="O36" s="204"/>
      <c r="P36" s="204"/>
      <c r="Q36" s="59">
        <f t="shared" si="2"/>
        <v>0</v>
      </c>
      <c r="R36" s="55" t="str">
        <f t="shared" si="3"/>
        <v>-</v>
      </c>
      <c r="S36" s="187"/>
      <c r="T36" s="204"/>
      <c r="U36" s="204"/>
      <c r="V36" s="59">
        <f t="shared" si="12"/>
        <v>0</v>
      </c>
      <c r="W36" s="55" t="str">
        <f t="shared" si="13"/>
        <v>-</v>
      </c>
      <c r="X36" s="187"/>
    </row>
    <row r="37" spans="1:37" ht="18" customHeight="1" x14ac:dyDescent="0.2">
      <c r="A37" s="201" t="s">
        <v>554</v>
      </c>
      <c r="B37" s="15" t="s">
        <v>555</v>
      </c>
      <c r="C37" s="206"/>
      <c r="D37" s="206"/>
      <c r="E37" s="204"/>
      <c r="F37" s="204"/>
      <c r="G37" s="349">
        <f t="shared" si="0"/>
        <v>0</v>
      </c>
      <c r="H37" s="350" t="str">
        <f t="shared" si="1"/>
        <v>-</v>
      </c>
      <c r="I37" s="187"/>
      <c r="J37" s="204"/>
      <c r="K37" s="204"/>
      <c r="L37" s="54">
        <f t="shared" si="14"/>
        <v>0</v>
      </c>
      <c r="M37" s="55" t="e">
        <f t="shared" si="15"/>
        <v>#DIV/0!</v>
      </c>
      <c r="N37" s="187"/>
      <c r="O37" s="204"/>
      <c r="P37" s="204"/>
      <c r="Q37" s="59">
        <f t="shared" si="2"/>
        <v>0</v>
      </c>
      <c r="R37" s="55" t="str">
        <f t="shared" si="3"/>
        <v>-</v>
      </c>
      <c r="S37" s="187"/>
      <c r="T37" s="204"/>
      <c r="U37" s="204"/>
      <c r="V37" s="59">
        <f t="shared" si="12"/>
        <v>0</v>
      </c>
      <c r="W37" s="55" t="str">
        <f t="shared" si="13"/>
        <v>-</v>
      </c>
      <c r="X37" s="187"/>
      <c r="AK37" s="10" t="s">
        <v>235</v>
      </c>
    </row>
    <row r="38" spans="1:37" ht="18" customHeight="1" x14ac:dyDescent="0.2">
      <c r="A38" s="201" t="s">
        <v>556</v>
      </c>
      <c r="B38" s="15" t="s">
        <v>557</v>
      </c>
      <c r="C38" s="206"/>
      <c r="D38" s="206"/>
      <c r="E38" s="204"/>
      <c r="F38" s="204"/>
      <c r="G38" s="349">
        <f t="shared" si="0"/>
        <v>0</v>
      </c>
      <c r="H38" s="350" t="str">
        <f t="shared" si="1"/>
        <v>-</v>
      </c>
      <c r="I38" s="187"/>
      <c r="J38" s="204"/>
      <c r="K38" s="204"/>
      <c r="L38" s="54">
        <f t="shared" si="14"/>
        <v>0</v>
      </c>
      <c r="M38" s="55" t="e">
        <f t="shared" si="15"/>
        <v>#DIV/0!</v>
      </c>
      <c r="N38" s="187"/>
      <c r="O38" s="204"/>
      <c r="P38" s="204"/>
      <c r="Q38" s="59">
        <f t="shared" si="2"/>
        <v>0</v>
      </c>
      <c r="R38" s="55" t="str">
        <f t="shared" si="3"/>
        <v>-</v>
      </c>
      <c r="S38" s="187"/>
      <c r="T38" s="204"/>
      <c r="U38" s="204"/>
      <c r="V38" s="59">
        <f t="shared" si="12"/>
        <v>0</v>
      </c>
      <c r="W38" s="55" t="str">
        <f t="shared" si="13"/>
        <v>-</v>
      </c>
      <c r="X38" s="187"/>
    </row>
    <row r="39" spans="1:37" ht="94.5" x14ac:dyDescent="0.25">
      <c r="A39" s="201" t="s">
        <v>558</v>
      </c>
      <c r="B39" s="14" t="s">
        <v>559</v>
      </c>
      <c r="C39" s="171">
        <v>3593</v>
      </c>
      <c r="D39" s="171">
        <v>3665</v>
      </c>
      <c r="E39" s="204">
        <v>714</v>
      </c>
      <c r="F39" s="204">
        <v>827</v>
      </c>
      <c r="G39" s="349">
        <f t="shared" si="0"/>
        <v>113</v>
      </c>
      <c r="H39" s="350">
        <f t="shared" si="1"/>
        <v>0.15826330532212884</v>
      </c>
      <c r="I39" s="443" t="s">
        <v>560</v>
      </c>
      <c r="J39" s="204">
        <v>1641</v>
      </c>
      <c r="K39" s="204">
        <v>2102</v>
      </c>
      <c r="L39" s="54">
        <f t="shared" si="14"/>
        <v>461</v>
      </c>
      <c r="M39" s="55">
        <f t="shared" si="15"/>
        <v>0.28092626447288238</v>
      </c>
      <c r="N39" s="496" t="s">
        <v>560</v>
      </c>
      <c r="O39" s="204">
        <v>2547</v>
      </c>
      <c r="P39" s="204">
        <v>3200</v>
      </c>
      <c r="Q39" s="59">
        <f t="shared" si="2"/>
        <v>653</v>
      </c>
      <c r="R39" s="55">
        <f t="shared" si="3"/>
        <v>0.25638005496662741</v>
      </c>
      <c r="S39" s="496" t="s">
        <v>560</v>
      </c>
      <c r="T39" s="17">
        <v>3665</v>
      </c>
      <c r="U39" s="17">
        <v>4001</v>
      </c>
      <c r="V39" s="59">
        <f t="shared" si="12"/>
        <v>336</v>
      </c>
      <c r="W39" s="55">
        <f t="shared" si="13"/>
        <v>9.1678035470668481E-2</v>
      </c>
      <c r="X39" s="358"/>
    </row>
    <row r="40" spans="1:37" ht="18" customHeight="1" x14ac:dyDescent="0.2">
      <c r="A40" s="215" t="s">
        <v>561</v>
      </c>
      <c r="B40" s="216" t="s">
        <v>562</v>
      </c>
      <c r="C40" s="217">
        <v>539</v>
      </c>
      <c r="D40" s="217">
        <v>550</v>
      </c>
      <c r="E40" s="204">
        <v>151</v>
      </c>
      <c r="F40" s="204">
        <v>161</v>
      </c>
      <c r="G40" s="349">
        <f t="shared" si="0"/>
        <v>10</v>
      </c>
      <c r="H40" s="350">
        <f t="shared" si="1"/>
        <v>6.6225165562913912E-2</v>
      </c>
      <c r="I40" s="358"/>
      <c r="J40" s="218">
        <v>294</v>
      </c>
      <c r="K40" s="204">
        <v>326</v>
      </c>
      <c r="L40" s="54">
        <f t="shared" si="14"/>
        <v>32</v>
      </c>
      <c r="M40" s="55">
        <f t="shared" si="15"/>
        <v>0.10884353741496598</v>
      </c>
      <c r="N40" s="187"/>
      <c r="O40" s="218">
        <v>436</v>
      </c>
      <c r="P40" s="204">
        <v>467</v>
      </c>
      <c r="Q40" s="59">
        <f t="shared" si="2"/>
        <v>31</v>
      </c>
      <c r="R40" s="55">
        <f t="shared" si="3"/>
        <v>7.1100917431192664E-2</v>
      </c>
      <c r="S40" s="208"/>
      <c r="T40" s="420">
        <v>550</v>
      </c>
      <c r="U40" s="17">
        <v>594</v>
      </c>
      <c r="V40" s="59">
        <f t="shared" si="12"/>
        <v>44</v>
      </c>
      <c r="W40" s="219">
        <f t="shared" si="13"/>
        <v>0.08</v>
      </c>
      <c r="X40" s="187"/>
    </row>
    <row r="41" spans="1:37" ht="18" customHeight="1" x14ac:dyDescent="0.2">
      <c r="A41" s="266" t="s">
        <v>563</v>
      </c>
      <c r="B41" s="277" t="s">
        <v>564</v>
      </c>
      <c r="C41" s="278" t="s">
        <v>485</v>
      </c>
      <c r="D41" s="269" t="s">
        <v>485</v>
      </c>
      <c r="E41" s="269" t="s">
        <v>485</v>
      </c>
      <c r="F41" s="270" t="s">
        <v>485</v>
      </c>
      <c r="G41" s="270" t="s">
        <v>485</v>
      </c>
      <c r="H41" s="271" t="s">
        <v>485</v>
      </c>
      <c r="I41" s="271" t="s">
        <v>485</v>
      </c>
      <c r="J41" s="269" t="s">
        <v>485</v>
      </c>
      <c r="K41" s="270" t="s">
        <v>485</v>
      </c>
      <c r="L41" s="270" t="s">
        <v>485</v>
      </c>
      <c r="M41" s="271" t="s">
        <v>485</v>
      </c>
      <c r="N41" s="271" t="s">
        <v>485</v>
      </c>
      <c r="O41" s="269" t="s">
        <v>485</v>
      </c>
      <c r="P41" s="270" t="s">
        <v>485</v>
      </c>
      <c r="Q41" s="269" t="s">
        <v>485</v>
      </c>
      <c r="R41" s="270" t="s">
        <v>485</v>
      </c>
      <c r="S41" s="271" t="s">
        <v>485</v>
      </c>
      <c r="T41" s="269" t="s">
        <v>485</v>
      </c>
      <c r="U41" s="270" t="s">
        <v>485</v>
      </c>
      <c r="V41" s="270" t="s">
        <v>485</v>
      </c>
      <c r="W41" s="271" t="s">
        <v>485</v>
      </c>
      <c r="X41" s="271" t="s">
        <v>485</v>
      </c>
    </row>
    <row r="42" spans="1:37" ht="18" customHeight="1" x14ac:dyDescent="0.2">
      <c r="A42" s="184" t="s">
        <v>565</v>
      </c>
      <c r="B42" s="220" t="s">
        <v>566</v>
      </c>
      <c r="C42" s="115"/>
      <c r="D42" s="115"/>
      <c r="E42" s="58"/>
      <c r="F42" s="58"/>
      <c r="G42" s="59">
        <f t="shared" ref="G42:G46" si="16">F42-E42</f>
        <v>0</v>
      </c>
      <c r="H42" s="55" t="str">
        <f t="shared" ref="H42:H46" si="17">IFERROR(G42/ABS(E42), "-")</f>
        <v>-</v>
      </c>
      <c r="I42" s="187"/>
      <c r="J42" s="58"/>
      <c r="K42" s="58"/>
      <c r="L42" s="59">
        <f t="shared" ref="L42:L46" si="18">K42-J42</f>
        <v>0</v>
      </c>
      <c r="M42" s="55" t="str">
        <f t="shared" ref="M42:M46" si="19">IFERROR(L42/ABS(J42), "-")</f>
        <v>-</v>
      </c>
      <c r="N42" s="187"/>
      <c r="O42" s="58"/>
      <c r="P42" s="58"/>
      <c r="Q42" s="59">
        <f>P42-O42</f>
        <v>0</v>
      </c>
      <c r="R42" s="55" t="str">
        <f>IFERROR(Q42/ABS(O42), "-")</f>
        <v>-</v>
      </c>
      <c r="S42" s="187"/>
      <c r="T42" s="58"/>
      <c r="U42" s="58"/>
      <c r="V42" s="59">
        <f t="shared" ref="V42:V46" si="20">U42-T42</f>
        <v>0</v>
      </c>
      <c r="W42" s="55" t="str">
        <f t="shared" ref="W42:W46" si="21">IFERROR(V42/ABS(T42), "-")</f>
        <v>-</v>
      </c>
      <c r="X42" s="187"/>
    </row>
    <row r="43" spans="1:37" ht="18" customHeight="1" x14ac:dyDescent="0.2">
      <c r="A43" s="184" t="s">
        <v>567</v>
      </c>
      <c r="B43" s="220" t="s">
        <v>568</v>
      </c>
      <c r="C43" s="115"/>
      <c r="D43" s="115"/>
      <c r="E43" s="58"/>
      <c r="F43" s="58"/>
      <c r="G43" s="59">
        <f t="shared" si="16"/>
        <v>0</v>
      </c>
      <c r="H43" s="55" t="str">
        <f t="shared" si="17"/>
        <v>-</v>
      </c>
      <c r="I43" s="187"/>
      <c r="J43" s="58"/>
      <c r="K43" s="58"/>
      <c r="L43" s="59">
        <f t="shared" si="18"/>
        <v>0</v>
      </c>
      <c r="M43" s="55" t="str">
        <f t="shared" si="19"/>
        <v>-</v>
      </c>
      <c r="N43" s="187"/>
      <c r="O43" s="58"/>
      <c r="P43" s="58"/>
      <c r="Q43" s="59">
        <f t="shared" ref="Q43:Q46" si="22">P43-O43</f>
        <v>0</v>
      </c>
      <c r="R43" s="55" t="str">
        <f t="shared" ref="R43:R46" si="23">IFERROR(Q43/ABS(O43), "-")</f>
        <v>-</v>
      </c>
      <c r="S43" s="187"/>
      <c r="T43" s="58"/>
      <c r="U43" s="58"/>
      <c r="V43" s="59">
        <f t="shared" si="20"/>
        <v>0</v>
      </c>
      <c r="W43" s="55" t="str">
        <f t="shared" si="21"/>
        <v>-</v>
      </c>
      <c r="X43" s="187"/>
    </row>
    <row r="44" spans="1:37" ht="18" customHeight="1" x14ac:dyDescent="0.2">
      <c r="A44" s="184" t="s">
        <v>569</v>
      </c>
      <c r="B44" s="220" t="s">
        <v>570</v>
      </c>
      <c r="C44" s="115"/>
      <c r="D44" s="115"/>
      <c r="E44" s="58"/>
      <c r="F44" s="58"/>
      <c r="G44" s="59">
        <f t="shared" si="16"/>
        <v>0</v>
      </c>
      <c r="H44" s="55" t="str">
        <f t="shared" si="17"/>
        <v>-</v>
      </c>
      <c r="I44" s="187"/>
      <c r="J44" s="58"/>
      <c r="K44" s="58"/>
      <c r="L44" s="59">
        <f t="shared" si="18"/>
        <v>0</v>
      </c>
      <c r="M44" s="55" t="str">
        <f t="shared" si="19"/>
        <v>-</v>
      </c>
      <c r="N44" s="187"/>
      <c r="O44" s="58"/>
      <c r="P44" s="58"/>
      <c r="Q44" s="59">
        <f t="shared" si="22"/>
        <v>0</v>
      </c>
      <c r="R44" s="55" t="str">
        <f t="shared" si="23"/>
        <v>-</v>
      </c>
      <c r="S44" s="187"/>
      <c r="T44" s="58"/>
      <c r="U44" s="58"/>
      <c r="V44" s="59">
        <f t="shared" si="20"/>
        <v>0</v>
      </c>
      <c r="W44" s="55" t="str">
        <f t="shared" si="21"/>
        <v>-</v>
      </c>
      <c r="X44" s="187"/>
    </row>
    <row r="45" spans="1:37" ht="18" customHeight="1" x14ac:dyDescent="0.2">
      <c r="A45" s="184" t="s">
        <v>571</v>
      </c>
      <c r="B45" s="220" t="s">
        <v>572</v>
      </c>
      <c r="C45" s="115"/>
      <c r="D45" s="115"/>
      <c r="E45" s="58"/>
      <c r="F45" s="58"/>
      <c r="G45" s="59">
        <f t="shared" si="16"/>
        <v>0</v>
      </c>
      <c r="H45" s="55" t="str">
        <f t="shared" si="17"/>
        <v>-</v>
      </c>
      <c r="I45" s="187"/>
      <c r="J45" s="58"/>
      <c r="K45" s="58"/>
      <c r="L45" s="59">
        <f t="shared" si="18"/>
        <v>0</v>
      </c>
      <c r="M45" s="55" t="str">
        <f t="shared" si="19"/>
        <v>-</v>
      </c>
      <c r="N45" s="187"/>
      <c r="O45" s="58"/>
      <c r="P45" s="58"/>
      <c r="Q45" s="59">
        <f t="shared" si="22"/>
        <v>0</v>
      </c>
      <c r="R45" s="55" t="str">
        <f t="shared" si="23"/>
        <v>-</v>
      </c>
      <c r="S45" s="187"/>
      <c r="T45" s="58"/>
      <c r="U45" s="58"/>
      <c r="V45" s="59">
        <f t="shared" si="20"/>
        <v>0</v>
      </c>
      <c r="W45" s="55" t="str">
        <f t="shared" si="21"/>
        <v>-</v>
      </c>
      <c r="X45" s="187"/>
    </row>
    <row r="46" spans="1:37" ht="18" customHeight="1" x14ac:dyDescent="0.2">
      <c r="A46" s="184" t="s">
        <v>573</v>
      </c>
      <c r="B46" s="220" t="s">
        <v>574</v>
      </c>
      <c r="C46" s="115"/>
      <c r="D46" s="115"/>
      <c r="E46" s="58"/>
      <c r="F46" s="58"/>
      <c r="G46" s="59">
        <f t="shared" si="16"/>
        <v>0</v>
      </c>
      <c r="H46" s="55" t="str">
        <f t="shared" si="17"/>
        <v>-</v>
      </c>
      <c r="I46" s="187"/>
      <c r="J46" s="58"/>
      <c r="K46" s="58"/>
      <c r="L46" s="59">
        <f t="shared" si="18"/>
        <v>0</v>
      </c>
      <c r="M46" s="55" t="str">
        <f t="shared" si="19"/>
        <v>-</v>
      </c>
      <c r="N46" s="187"/>
      <c r="O46" s="58"/>
      <c r="P46" s="58"/>
      <c r="Q46" s="59">
        <f t="shared" si="22"/>
        <v>0</v>
      </c>
      <c r="R46" s="55" t="str">
        <f t="shared" si="23"/>
        <v>-</v>
      </c>
      <c r="S46" s="187"/>
      <c r="T46" s="58"/>
      <c r="U46" s="58"/>
      <c r="V46" s="59">
        <f t="shared" si="20"/>
        <v>0</v>
      </c>
      <c r="W46" s="55" t="str">
        <f t="shared" si="21"/>
        <v>-</v>
      </c>
      <c r="X46" s="187"/>
    </row>
    <row r="47" spans="1:37" ht="18" customHeight="1" x14ac:dyDescent="0.2">
      <c r="A47" s="266" t="s">
        <v>575</v>
      </c>
      <c r="B47" s="277" t="s">
        <v>576</v>
      </c>
      <c r="C47" s="278" t="s">
        <v>485</v>
      </c>
      <c r="D47" s="269" t="s">
        <v>485</v>
      </c>
      <c r="E47" s="269" t="s">
        <v>485</v>
      </c>
      <c r="F47" s="270" t="s">
        <v>485</v>
      </c>
      <c r="G47" s="270" t="s">
        <v>485</v>
      </c>
      <c r="H47" s="271" t="s">
        <v>485</v>
      </c>
      <c r="I47" s="271" t="s">
        <v>485</v>
      </c>
      <c r="J47" s="269" t="s">
        <v>485</v>
      </c>
      <c r="K47" s="270" t="s">
        <v>485</v>
      </c>
      <c r="L47" s="270" t="s">
        <v>485</v>
      </c>
      <c r="M47" s="271" t="s">
        <v>485</v>
      </c>
      <c r="N47" s="271" t="s">
        <v>485</v>
      </c>
      <c r="O47" s="269" t="s">
        <v>485</v>
      </c>
      <c r="P47" s="270" t="s">
        <v>485</v>
      </c>
      <c r="Q47" s="270" t="s">
        <v>485</v>
      </c>
      <c r="R47" s="271" t="s">
        <v>485</v>
      </c>
      <c r="S47" s="271" t="s">
        <v>485</v>
      </c>
      <c r="T47" s="269" t="s">
        <v>485</v>
      </c>
      <c r="U47" s="270" t="s">
        <v>485</v>
      </c>
      <c r="V47" s="270" t="s">
        <v>485</v>
      </c>
      <c r="W47" s="271" t="s">
        <v>485</v>
      </c>
      <c r="X47" s="271" t="s">
        <v>485</v>
      </c>
    </row>
    <row r="48" spans="1:37" ht="18" customHeight="1" x14ac:dyDescent="0.2">
      <c r="A48" s="184" t="s">
        <v>577</v>
      </c>
      <c r="B48" s="220" t="s">
        <v>566</v>
      </c>
      <c r="C48" s="115"/>
      <c r="D48" s="115"/>
      <c r="E48" s="58"/>
      <c r="F48" s="58"/>
      <c r="G48" s="59">
        <f t="shared" ref="G48:G52" si="24">F48-E48</f>
        <v>0</v>
      </c>
      <c r="H48" s="55" t="str">
        <f t="shared" ref="H48:H52" si="25">IFERROR(G48/ABS(E48), "-")</f>
        <v>-</v>
      </c>
      <c r="I48" s="187"/>
      <c r="J48" s="58"/>
      <c r="K48" s="58"/>
      <c r="L48" s="59">
        <f t="shared" ref="L48:L52" si="26">K48-J48</f>
        <v>0</v>
      </c>
      <c r="M48" s="55" t="str">
        <f t="shared" ref="M48:M52" si="27">IFERROR(L48/ABS(J48), "-")</f>
        <v>-</v>
      </c>
      <c r="N48" s="187"/>
      <c r="O48" s="58"/>
      <c r="P48" s="58"/>
      <c r="Q48" s="59">
        <f t="shared" ref="Q48:Q52" si="28">P48-O48</f>
        <v>0</v>
      </c>
      <c r="R48" s="55" t="str">
        <f t="shared" ref="R48:R52" si="29">IFERROR(Q48/ABS(O48), "-")</f>
        <v>-</v>
      </c>
      <c r="S48" s="187"/>
      <c r="T48" s="58"/>
      <c r="U48" s="58"/>
      <c r="V48" s="59">
        <f t="shared" ref="V48:V52" si="30">U48-T48</f>
        <v>0</v>
      </c>
      <c r="W48" s="55" t="str">
        <f t="shared" ref="W48:W52" si="31">IFERROR(V48/ABS(T48), "-")</f>
        <v>-</v>
      </c>
      <c r="X48" s="187"/>
    </row>
    <row r="49" spans="1:24" ht="18" customHeight="1" x14ac:dyDescent="0.2">
      <c r="A49" s="184" t="s">
        <v>578</v>
      </c>
      <c r="B49" s="220" t="s">
        <v>568</v>
      </c>
      <c r="C49" s="115"/>
      <c r="D49" s="115"/>
      <c r="E49" s="58"/>
      <c r="F49" s="58"/>
      <c r="G49" s="59">
        <f t="shared" si="24"/>
        <v>0</v>
      </c>
      <c r="H49" s="55" t="str">
        <f t="shared" si="25"/>
        <v>-</v>
      </c>
      <c r="I49" s="187"/>
      <c r="J49" s="58"/>
      <c r="K49" s="58"/>
      <c r="L49" s="59">
        <f t="shared" si="26"/>
        <v>0</v>
      </c>
      <c r="M49" s="55" t="str">
        <f t="shared" si="27"/>
        <v>-</v>
      </c>
      <c r="N49" s="187"/>
      <c r="O49" s="58"/>
      <c r="P49" s="58"/>
      <c r="Q49" s="59">
        <f t="shared" si="28"/>
        <v>0</v>
      </c>
      <c r="R49" s="55" t="str">
        <f t="shared" si="29"/>
        <v>-</v>
      </c>
      <c r="S49" s="187"/>
      <c r="T49" s="58"/>
      <c r="U49" s="58"/>
      <c r="V49" s="59">
        <f t="shared" si="30"/>
        <v>0</v>
      </c>
      <c r="W49" s="55" t="str">
        <f t="shared" si="31"/>
        <v>-</v>
      </c>
      <c r="X49" s="187"/>
    </row>
    <row r="50" spans="1:24" ht="18" customHeight="1" x14ac:dyDescent="0.2">
      <c r="A50" s="184" t="s">
        <v>579</v>
      </c>
      <c r="B50" s="220" t="s">
        <v>570</v>
      </c>
      <c r="C50" s="115"/>
      <c r="D50" s="115"/>
      <c r="E50" s="58"/>
      <c r="F50" s="58"/>
      <c r="G50" s="59">
        <f t="shared" si="24"/>
        <v>0</v>
      </c>
      <c r="H50" s="55" t="str">
        <f t="shared" si="25"/>
        <v>-</v>
      </c>
      <c r="I50" s="187"/>
      <c r="J50" s="58"/>
      <c r="K50" s="58"/>
      <c r="L50" s="59">
        <f t="shared" si="26"/>
        <v>0</v>
      </c>
      <c r="M50" s="55" t="str">
        <f t="shared" si="27"/>
        <v>-</v>
      </c>
      <c r="N50" s="187"/>
      <c r="O50" s="58"/>
      <c r="P50" s="58"/>
      <c r="Q50" s="59">
        <f t="shared" si="28"/>
        <v>0</v>
      </c>
      <c r="R50" s="55" t="str">
        <f t="shared" si="29"/>
        <v>-</v>
      </c>
      <c r="S50" s="187"/>
      <c r="T50" s="58"/>
      <c r="U50" s="58"/>
      <c r="V50" s="59">
        <f t="shared" si="30"/>
        <v>0</v>
      </c>
      <c r="W50" s="55" t="str">
        <f t="shared" si="31"/>
        <v>-</v>
      </c>
      <c r="X50" s="187"/>
    </row>
    <row r="51" spans="1:24" ht="18" customHeight="1" x14ac:dyDescent="0.2">
      <c r="A51" s="184" t="s">
        <v>580</v>
      </c>
      <c r="B51" s="220" t="s">
        <v>572</v>
      </c>
      <c r="C51" s="115"/>
      <c r="D51" s="115"/>
      <c r="E51" s="58"/>
      <c r="F51" s="58"/>
      <c r="G51" s="59">
        <f t="shared" si="24"/>
        <v>0</v>
      </c>
      <c r="H51" s="55" t="str">
        <f t="shared" si="25"/>
        <v>-</v>
      </c>
      <c r="I51" s="187"/>
      <c r="J51" s="58"/>
      <c r="K51" s="58"/>
      <c r="L51" s="59">
        <f t="shared" si="26"/>
        <v>0</v>
      </c>
      <c r="M51" s="55" t="str">
        <f t="shared" si="27"/>
        <v>-</v>
      </c>
      <c r="N51" s="187"/>
      <c r="O51" s="58"/>
      <c r="P51" s="58"/>
      <c r="Q51" s="59">
        <f t="shared" si="28"/>
        <v>0</v>
      </c>
      <c r="R51" s="55" t="str">
        <f t="shared" si="29"/>
        <v>-</v>
      </c>
      <c r="S51" s="187"/>
      <c r="T51" s="58"/>
      <c r="U51" s="58"/>
      <c r="V51" s="59">
        <f t="shared" si="30"/>
        <v>0</v>
      </c>
      <c r="W51" s="55" t="str">
        <f t="shared" si="31"/>
        <v>-</v>
      </c>
      <c r="X51" s="187"/>
    </row>
    <row r="52" spans="1:24" ht="18" customHeight="1" x14ac:dyDescent="0.2">
      <c r="A52" s="184" t="s">
        <v>581</v>
      </c>
      <c r="B52" s="220" t="s">
        <v>574</v>
      </c>
      <c r="C52" s="115"/>
      <c r="D52" s="115"/>
      <c r="E52" s="58"/>
      <c r="F52" s="58"/>
      <c r="G52" s="59">
        <f t="shared" si="24"/>
        <v>0</v>
      </c>
      <c r="H52" s="55" t="str">
        <f t="shared" si="25"/>
        <v>-</v>
      </c>
      <c r="I52" s="187"/>
      <c r="J52" s="58"/>
      <c r="K52" s="58"/>
      <c r="L52" s="59">
        <f t="shared" si="26"/>
        <v>0</v>
      </c>
      <c r="M52" s="55" t="str">
        <f t="shared" si="27"/>
        <v>-</v>
      </c>
      <c r="N52" s="187"/>
      <c r="O52" s="58"/>
      <c r="P52" s="58"/>
      <c r="Q52" s="59">
        <f t="shared" si="28"/>
        <v>0</v>
      </c>
      <c r="R52" s="55" t="str">
        <f t="shared" si="29"/>
        <v>-</v>
      </c>
      <c r="S52" s="187"/>
      <c r="T52" s="58"/>
      <c r="U52" s="58"/>
      <c r="V52" s="59">
        <f t="shared" si="30"/>
        <v>0</v>
      </c>
      <c r="W52" s="55" t="str">
        <f t="shared" si="31"/>
        <v>-</v>
      </c>
      <c r="X52" s="187"/>
    </row>
    <row r="53" spans="1:24" ht="18" customHeight="1" x14ac:dyDescent="0.2">
      <c r="A53" s="266" t="s">
        <v>582</v>
      </c>
      <c r="B53" s="279" t="s">
        <v>583</v>
      </c>
      <c r="C53" s="280" t="s">
        <v>485</v>
      </c>
      <c r="D53" s="269" t="s">
        <v>485</v>
      </c>
      <c r="E53" s="269" t="s">
        <v>485</v>
      </c>
      <c r="F53" s="270" t="s">
        <v>485</v>
      </c>
      <c r="G53" s="270" t="s">
        <v>485</v>
      </c>
      <c r="H53" s="271" t="s">
        <v>485</v>
      </c>
      <c r="I53" s="271" t="s">
        <v>485</v>
      </c>
      <c r="J53" s="269" t="s">
        <v>485</v>
      </c>
      <c r="K53" s="270" t="s">
        <v>485</v>
      </c>
      <c r="L53" s="270" t="s">
        <v>485</v>
      </c>
      <c r="M53" s="271" t="s">
        <v>485</v>
      </c>
      <c r="N53" s="271" t="s">
        <v>485</v>
      </c>
      <c r="O53" s="269" t="s">
        <v>485</v>
      </c>
      <c r="P53" s="270" t="s">
        <v>485</v>
      </c>
      <c r="Q53" s="270" t="s">
        <v>485</v>
      </c>
      <c r="R53" s="271" t="s">
        <v>485</v>
      </c>
      <c r="S53" s="271" t="s">
        <v>485</v>
      </c>
      <c r="T53" s="269" t="s">
        <v>485</v>
      </c>
      <c r="U53" s="270" t="s">
        <v>485</v>
      </c>
      <c r="V53" s="270" t="s">
        <v>485</v>
      </c>
      <c r="W53" s="271" t="s">
        <v>485</v>
      </c>
      <c r="X53" s="271" t="s">
        <v>485</v>
      </c>
    </row>
    <row r="54" spans="1:24" ht="18" customHeight="1" x14ac:dyDescent="0.2">
      <c r="A54" s="213" t="s">
        <v>584</v>
      </c>
      <c r="B54" s="100" t="s">
        <v>585</v>
      </c>
      <c r="C54" s="90">
        <v>630</v>
      </c>
      <c r="D54" s="90">
        <v>634</v>
      </c>
      <c r="E54" s="90">
        <v>630</v>
      </c>
      <c r="F54" s="90">
        <f>SUM(F55:F59)</f>
        <v>631</v>
      </c>
      <c r="G54" s="93">
        <f t="shared" ref="G54:G77" si="32">F54-E54</f>
        <v>1</v>
      </c>
      <c r="H54" s="94">
        <f>IFERROR(G54/ABS(E54), "-")</f>
        <v>1.5873015873015873E-3</v>
      </c>
      <c r="I54" s="221"/>
      <c r="J54" s="90">
        <v>630</v>
      </c>
      <c r="K54" s="90">
        <f>SUM(K55:K59)</f>
        <v>631</v>
      </c>
      <c r="L54" s="93">
        <f t="shared" ref="L54:L58" si="33">K54-J54</f>
        <v>1</v>
      </c>
      <c r="M54" s="94">
        <f t="shared" ref="M54:M77" si="34">IFERROR(L54/ABS(J54), "-")</f>
        <v>1.5873015873015873E-3</v>
      </c>
      <c r="N54" s="221"/>
      <c r="O54" s="90">
        <v>632</v>
      </c>
      <c r="P54" s="90">
        <v>633</v>
      </c>
      <c r="Q54" s="93">
        <f t="shared" ref="Q54:Q59" si="35">P54-O54</f>
        <v>1</v>
      </c>
      <c r="R54" s="94">
        <f t="shared" ref="R54:R77" si="36">IFERROR(Q54/ABS(O54), "-")</f>
        <v>1.5822784810126582E-3</v>
      </c>
      <c r="S54" s="221"/>
      <c r="T54" s="90">
        <v>634</v>
      </c>
      <c r="U54" s="90">
        <f>SUM(U55:U59)</f>
        <v>634</v>
      </c>
      <c r="V54" s="93">
        <f t="shared" ref="V54:V77" si="37">U54-T54</f>
        <v>0</v>
      </c>
      <c r="W54" s="94">
        <f t="shared" ref="W54:W77" si="38">IFERROR(V54/ABS(T54), "-")</f>
        <v>0</v>
      </c>
      <c r="X54" s="221"/>
    </row>
    <row r="55" spans="1:24" ht="18" customHeight="1" x14ac:dyDescent="0.2">
      <c r="A55" s="201" t="s">
        <v>586</v>
      </c>
      <c r="B55" s="222" t="s">
        <v>587</v>
      </c>
      <c r="C55" s="58">
        <v>138</v>
      </c>
      <c r="D55" s="58">
        <v>138</v>
      </c>
      <c r="E55" s="204">
        <v>138</v>
      </c>
      <c r="F55" s="204">
        <v>138</v>
      </c>
      <c r="G55" s="205">
        <f t="shared" si="32"/>
        <v>0</v>
      </c>
      <c r="H55" s="55">
        <f t="shared" ref="H55:H77" si="39">IFERROR(G55/ABS(E55), "-")</f>
        <v>0</v>
      </c>
      <c r="I55" s="187"/>
      <c r="J55" s="204">
        <v>138</v>
      </c>
      <c r="K55" s="204">
        <v>138</v>
      </c>
      <c r="L55" s="205">
        <f t="shared" si="33"/>
        <v>0</v>
      </c>
      <c r="M55" s="55">
        <f t="shared" si="34"/>
        <v>0</v>
      </c>
      <c r="N55" s="187"/>
      <c r="O55" s="204">
        <v>138</v>
      </c>
      <c r="P55" s="204">
        <v>138</v>
      </c>
      <c r="Q55" s="205">
        <f t="shared" si="35"/>
        <v>0</v>
      </c>
      <c r="R55" s="55">
        <f>IFERROR(Q55/ABS(O55), "-")</f>
        <v>0</v>
      </c>
      <c r="S55" s="187"/>
      <c r="T55" s="204">
        <v>138</v>
      </c>
      <c r="U55" s="204">
        <v>138</v>
      </c>
      <c r="V55" s="205">
        <f t="shared" si="37"/>
        <v>0</v>
      </c>
      <c r="W55" s="55">
        <f t="shared" si="38"/>
        <v>0</v>
      </c>
      <c r="X55" s="187"/>
    </row>
    <row r="56" spans="1:24" x14ac:dyDescent="0.2">
      <c r="A56" s="201" t="s">
        <v>588</v>
      </c>
      <c r="B56" s="222" t="s">
        <v>589</v>
      </c>
      <c r="C56" s="58">
        <v>190</v>
      </c>
      <c r="D56" s="58">
        <v>192</v>
      </c>
      <c r="E56" s="58">
        <v>190</v>
      </c>
      <c r="F56" s="58">
        <v>190</v>
      </c>
      <c r="G56" s="59">
        <f t="shared" si="32"/>
        <v>0</v>
      </c>
      <c r="H56" s="55">
        <f t="shared" si="39"/>
        <v>0</v>
      </c>
      <c r="I56" s="187"/>
      <c r="J56" s="58">
        <v>190</v>
      </c>
      <c r="K56" s="58">
        <v>190</v>
      </c>
      <c r="L56" s="59">
        <f t="shared" si="33"/>
        <v>0</v>
      </c>
      <c r="M56" s="55">
        <f t="shared" si="34"/>
        <v>0</v>
      </c>
      <c r="N56" s="187"/>
      <c r="O56" s="58">
        <v>191</v>
      </c>
      <c r="P56" s="58">
        <v>191</v>
      </c>
      <c r="Q56" s="59">
        <f t="shared" si="35"/>
        <v>0</v>
      </c>
      <c r="R56" s="55">
        <f t="shared" si="36"/>
        <v>0</v>
      </c>
      <c r="S56" s="187"/>
      <c r="T56" s="58">
        <v>192</v>
      </c>
      <c r="U56" s="58">
        <v>191</v>
      </c>
      <c r="V56" s="59">
        <f t="shared" si="37"/>
        <v>-1</v>
      </c>
      <c r="W56" s="55">
        <f t="shared" si="38"/>
        <v>-5.208333333333333E-3</v>
      </c>
      <c r="X56" s="187"/>
    </row>
    <row r="57" spans="1:24" x14ac:dyDescent="0.2">
      <c r="A57" s="201" t="s">
        <v>590</v>
      </c>
      <c r="B57" s="44" t="s">
        <v>591</v>
      </c>
      <c r="C57" s="206">
        <v>45</v>
      </c>
      <c r="D57" s="206">
        <v>45</v>
      </c>
      <c r="E57" s="58">
        <v>45</v>
      </c>
      <c r="F57" s="58">
        <v>45</v>
      </c>
      <c r="G57" s="59">
        <f t="shared" si="32"/>
        <v>0</v>
      </c>
      <c r="H57" s="55">
        <f t="shared" si="39"/>
        <v>0</v>
      </c>
      <c r="I57" s="187"/>
      <c r="J57" s="58">
        <v>45</v>
      </c>
      <c r="K57" s="58">
        <v>45</v>
      </c>
      <c r="L57" s="59">
        <f t="shared" si="33"/>
        <v>0</v>
      </c>
      <c r="M57" s="55">
        <f t="shared" si="34"/>
        <v>0</v>
      </c>
      <c r="N57" s="187"/>
      <c r="O57" s="58">
        <v>45</v>
      </c>
      <c r="P57" s="58">
        <v>46</v>
      </c>
      <c r="Q57" s="59">
        <f t="shared" si="35"/>
        <v>1</v>
      </c>
      <c r="R57" s="55">
        <f t="shared" si="36"/>
        <v>2.2222222222222223E-2</v>
      </c>
      <c r="S57" s="187"/>
      <c r="T57" s="58">
        <v>45</v>
      </c>
      <c r="U57" s="58">
        <v>45</v>
      </c>
      <c r="V57" s="59">
        <f t="shared" si="37"/>
        <v>0</v>
      </c>
      <c r="W57" s="55">
        <f t="shared" si="38"/>
        <v>0</v>
      </c>
      <c r="X57" s="187"/>
    </row>
    <row r="58" spans="1:24" ht="18" customHeight="1" x14ac:dyDescent="0.2">
      <c r="A58" s="201" t="s">
        <v>592</v>
      </c>
      <c r="B58" s="44" t="s">
        <v>593</v>
      </c>
      <c r="C58" s="206">
        <v>40</v>
      </c>
      <c r="D58" s="206">
        <v>40</v>
      </c>
      <c r="E58" s="58">
        <v>40</v>
      </c>
      <c r="F58" s="58">
        <v>40</v>
      </c>
      <c r="G58" s="59">
        <f t="shared" si="32"/>
        <v>0</v>
      </c>
      <c r="H58" s="55">
        <f t="shared" si="39"/>
        <v>0</v>
      </c>
      <c r="I58" s="187"/>
      <c r="J58" s="58">
        <v>40</v>
      </c>
      <c r="K58" s="58">
        <v>40</v>
      </c>
      <c r="L58" s="59">
        <f t="shared" si="33"/>
        <v>0</v>
      </c>
      <c r="M58" s="55">
        <f t="shared" si="34"/>
        <v>0</v>
      </c>
      <c r="N58" s="187"/>
      <c r="O58" s="58">
        <v>40</v>
      </c>
      <c r="P58" s="58">
        <v>40</v>
      </c>
      <c r="Q58" s="59">
        <f t="shared" si="35"/>
        <v>0</v>
      </c>
      <c r="R58" s="55">
        <f t="shared" si="36"/>
        <v>0</v>
      </c>
      <c r="S58" s="187"/>
      <c r="T58" s="58">
        <v>40</v>
      </c>
      <c r="U58" s="58">
        <v>40</v>
      </c>
      <c r="V58" s="59">
        <f t="shared" si="37"/>
        <v>0</v>
      </c>
      <c r="W58" s="55">
        <f t="shared" si="38"/>
        <v>0</v>
      </c>
      <c r="X58" s="187"/>
    </row>
    <row r="59" spans="1:24" ht="18" customHeight="1" x14ac:dyDescent="0.2">
      <c r="A59" s="201" t="s">
        <v>594</v>
      </c>
      <c r="B59" s="44" t="s">
        <v>595</v>
      </c>
      <c r="C59" s="206">
        <v>217</v>
      </c>
      <c r="D59" s="206">
        <v>219</v>
      </c>
      <c r="E59" s="58">
        <v>217</v>
      </c>
      <c r="F59" s="58">
        <v>218</v>
      </c>
      <c r="G59" s="59">
        <f>F59-E59</f>
        <v>1</v>
      </c>
      <c r="H59" s="55">
        <f t="shared" si="39"/>
        <v>4.608294930875576E-3</v>
      </c>
      <c r="I59" s="187"/>
      <c r="J59" s="58">
        <v>217</v>
      </c>
      <c r="K59" s="58">
        <v>218</v>
      </c>
      <c r="L59" s="59">
        <f>K59-J59</f>
        <v>1</v>
      </c>
      <c r="M59" s="55">
        <f t="shared" si="34"/>
        <v>4.608294930875576E-3</v>
      </c>
      <c r="N59" s="187"/>
      <c r="O59" s="58">
        <v>218</v>
      </c>
      <c r="P59" s="58">
        <v>218</v>
      </c>
      <c r="Q59" s="59">
        <f t="shared" si="35"/>
        <v>0</v>
      </c>
      <c r="R59" s="55">
        <f t="shared" si="36"/>
        <v>0</v>
      </c>
      <c r="S59" s="187"/>
      <c r="T59" s="58">
        <v>219</v>
      </c>
      <c r="U59" s="58">
        <v>220</v>
      </c>
      <c r="V59" s="59">
        <f t="shared" si="37"/>
        <v>1</v>
      </c>
      <c r="W59" s="55">
        <f t="shared" si="38"/>
        <v>4.5662100456621002E-3</v>
      </c>
      <c r="X59" s="187"/>
    </row>
    <row r="60" spans="1:24" ht="18" customHeight="1" x14ac:dyDescent="0.2">
      <c r="A60" s="213" t="s">
        <v>596</v>
      </c>
      <c r="B60" s="223" t="s">
        <v>597</v>
      </c>
      <c r="C60" s="90">
        <v>1703.1539682539683</v>
      </c>
      <c r="D60" s="90">
        <v>1821</v>
      </c>
      <c r="E60" s="90">
        <v>1810</v>
      </c>
      <c r="F60" s="90">
        <v>1792</v>
      </c>
      <c r="G60" s="93">
        <f>F60-E60</f>
        <v>-18</v>
      </c>
      <c r="H60" s="94">
        <f t="shared" si="39"/>
        <v>-9.9447513812154689E-3</v>
      </c>
      <c r="I60" s="221"/>
      <c r="J60" s="90">
        <v>1827</v>
      </c>
      <c r="K60" s="90">
        <v>1853</v>
      </c>
      <c r="L60" s="93">
        <f>K60-J60</f>
        <v>26</v>
      </c>
      <c r="M60" s="94">
        <f t="shared" si="34"/>
        <v>1.4230979748221127E-2</v>
      </c>
      <c r="N60" s="221"/>
      <c r="O60" s="90">
        <v>1815</v>
      </c>
      <c r="P60" s="90">
        <v>1880</v>
      </c>
      <c r="Q60" s="93">
        <f>P60-O60</f>
        <v>65</v>
      </c>
      <c r="R60" s="94">
        <f t="shared" si="36"/>
        <v>3.5812672176308541E-2</v>
      </c>
      <c r="S60" s="221"/>
      <c r="T60" s="90">
        <v>1815</v>
      </c>
      <c r="U60" s="90">
        <f>14723793.4/12/U54</f>
        <v>1935.3040746582546</v>
      </c>
      <c r="V60" s="411">
        <f t="shared" si="37"/>
        <v>120.30407465825465</v>
      </c>
      <c r="W60" s="94">
        <f t="shared" si="38"/>
        <v>6.6283236726311104E-2</v>
      </c>
      <c r="X60" s="221"/>
    </row>
    <row r="61" spans="1:24" ht="18" customHeight="1" x14ac:dyDescent="0.2">
      <c r="A61" s="201" t="s">
        <v>598</v>
      </c>
      <c r="B61" s="222" t="s">
        <v>587</v>
      </c>
      <c r="C61" s="58">
        <v>2518</v>
      </c>
      <c r="D61" s="58">
        <v>2750</v>
      </c>
      <c r="E61" s="204">
        <v>2700</v>
      </c>
      <c r="F61" s="204">
        <v>2696</v>
      </c>
      <c r="G61" s="59">
        <f t="shared" si="32"/>
        <v>-4</v>
      </c>
      <c r="H61" s="55">
        <f t="shared" si="39"/>
        <v>-1.4814814814814814E-3</v>
      </c>
      <c r="I61" s="187"/>
      <c r="J61" s="58">
        <v>2840</v>
      </c>
      <c r="K61" s="204">
        <v>2789</v>
      </c>
      <c r="L61" s="59">
        <f t="shared" ref="L61:L77" si="40">K61-J61</f>
        <v>-51</v>
      </c>
      <c r="M61" s="55">
        <f t="shared" si="34"/>
        <v>-1.795774647887324E-2</v>
      </c>
      <c r="N61" s="187"/>
      <c r="O61" s="58">
        <v>2772</v>
      </c>
      <c r="P61" s="204">
        <v>2853</v>
      </c>
      <c r="Q61" s="59">
        <f t="shared" ref="Q61:Q77" si="41">P61-O61</f>
        <v>81</v>
      </c>
      <c r="R61" s="55">
        <f t="shared" si="36"/>
        <v>2.922077922077922E-2</v>
      </c>
      <c r="S61" s="187"/>
      <c r="T61" s="58">
        <v>2700</v>
      </c>
      <c r="U61" s="17">
        <f>(4845987.9/U55/12)</f>
        <v>2926.3211956521741</v>
      </c>
      <c r="V61" s="59">
        <f t="shared" si="37"/>
        <v>226.32119565217408</v>
      </c>
      <c r="W61" s="55">
        <f t="shared" si="38"/>
        <v>8.3822665056360768E-2</v>
      </c>
      <c r="X61" s="187"/>
    </row>
    <row r="62" spans="1:24" ht="18" customHeight="1" x14ac:dyDescent="0.2">
      <c r="A62" s="201" t="s">
        <v>599</v>
      </c>
      <c r="B62" s="222" t="s">
        <v>589</v>
      </c>
      <c r="C62" s="58">
        <v>1843</v>
      </c>
      <c r="D62" s="58">
        <v>1950</v>
      </c>
      <c r="E62" s="204">
        <v>1966</v>
      </c>
      <c r="F62" s="204">
        <v>1998</v>
      </c>
      <c r="G62" s="59">
        <f t="shared" si="32"/>
        <v>32</v>
      </c>
      <c r="H62" s="55">
        <f t="shared" si="39"/>
        <v>1.6276703967446592E-2</v>
      </c>
      <c r="I62" s="187"/>
      <c r="J62" s="58">
        <v>1930</v>
      </c>
      <c r="K62" s="204">
        <v>2067</v>
      </c>
      <c r="L62" s="59">
        <f t="shared" si="40"/>
        <v>137</v>
      </c>
      <c r="M62" s="55">
        <f t="shared" si="34"/>
        <v>7.0984455958549228E-2</v>
      </c>
      <c r="N62" s="187"/>
      <c r="O62" s="58">
        <v>1892</v>
      </c>
      <c r="P62" s="204">
        <v>2099</v>
      </c>
      <c r="Q62" s="59">
        <f t="shared" si="41"/>
        <v>207</v>
      </c>
      <c r="R62" s="55">
        <f t="shared" si="36"/>
        <v>0.10940803382663848</v>
      </c>
      <c r="S62" s="187"/>
      <c r="T62" s="58">
        <v>1995</v>
      </c>
      <c r="U62" s="17">
        <f>4973728.09/U56/12</f>
        <v>2170.0384336823731</v>
      </c>
      <c r="V62" s="59">
        <f t="shared" si="37"/>
        <v>175.03843368237312</v>
      </c>
      <c r="W62" s="55">
        <f t="shared" si="38"/>
        <v>8.7738563249309842E-2</v>
      </c>
      <c r="X62" s="187"/>
    </row>
    <row r="63" spans="1:24" ht="18" customHeight="1" x14ac:dyDescent="0.2">
      <c r="A63" s="201" t="s">
        <v>600</v>
      </c>
      <c r="B63" s="44" t="s">
        <v>591</v>
      </c>
      <c r="C63" s="206">
        <v>1060</v>
      </c>
      <c r="D63" s="206">
        <v>1140</v>
      </c>
      <c r="E63" s="204">
        <v>1110</v>
      </c>
      <c r="F63" s="204">
        <v>1104</v>
      </c>
      <c r="G63" s="59">
        <f t="shared" si="32"/>
        <v>-6</v>
      </c>
      <c r="H63" s="55">
        <f t="shared" si="39"/>
        <v>-5.4054054054054057E-3</v>
      </c>
      <c r="I63" s="187"/>
      <c r="J63" s="58">
        <v>1140</v>
      </c>
      <c r="K63" s="204">
        <v>1150</v>
      </c>
      <c r="L63" s="59">
        <f t="shared" si="40"/>
        <v>10</v>
      </c>
      <c r="M63" s="55">
        <f t="shared" si="34"/>
        <v>8.771929824561403E-3</v>
      </c>
      <c r="N63" s="187"/>
      <c r="O63" s="58">
        <v>1140</v>
      </c>
      <c r="P63" s="204">
        <v>1140</v>
      </c>
      <c r="Q63" s="59">
        <f t="shared" si="41"/>
        <v>0</v>
      </c>
      <c r="R63" s="55">
        <f t="shared" si="36"/>
        <v>0</v>
      </c>
      <c r="S63" s="187"/>
      <c r="T63" s="58">
        <v>1134</v>
      </c>
      <c r="U63" s="17">
        <f>663010.5/U57/12</f>
        <v>1227.7972222222222</v>
      </c>
      <c r="V63" s="59">
        <f t="shared" si="37"/>
        <v>93.797222222222217</v>
      </c>
      <c r="W63" s="55">
        <f t="shared" si="38"/>
        <v>8.2713599843229471E-2</v>
      </c>
      <c r="X63" s="187"/>
    </row>
    <row r="64" spans="1:24" ht="18" customHeight="1" x14ac:dyDescent="0.2">
      <c r="A64" s="201" t="s">
        <v>601</v>
      </c>
      <c r="B64" s="44" t="s">
        <v>593</v>
      </c>
      <c r="C64" s="206">
        <v>2283</v>
      </c>
      <c r="D64" s="206">
        <v>2350</v>
      </c>
      <c r="E64" s="204">
        <v>2300</v>
      </c>
      <c r="F64" s="204">
        <v>2416</v>
      </c>
      <c r="G64" s="59">
        <f t="shared" si="32"/>
        <v>116</v>
      </c>
      <c r="H64" s="55">
        <f t="shared" si="39"/>
        <v>5.0434782608695654E-2</v>
      </c>
      <c r="I64" s="187"/>
      <c r="J64" s="58">
        <v>2284</v>
      </c>
      <c r="K64" s="204">
        <v>2447</v>
      </c>
      <c r="L64" s="59">
        <f t="shared" si="40"/>
        <v>163</v>
      </c>
      <c r="M64" s="55">
        <f t="shared" si="34"/>
        <v>7.136602451838879E-2</v>
      </c>
      <c r="N64" s="187"/>
      <c r="O64" s="58">
        <v>2350</v>
      </c>
      <c r="P64" s="204">
        <v>2490</v>
      </c>
      <c r="Q64" s="59">
        <f t="shared" si="41"/>
        <v>140</v>
      </c>
      <c r="R64" s="55">
        <f t="shared" si="36"/>
        <v>5.9574468085106386E-2</v>
      </c>
      <c r="S64" s="187"/>
      <c r="T64" s="58">
        <v>2360</v>
      </c>
      <c r="U64" s="17">
        <f>1161793.63/U58/12</f>
        <v>2420.403395833333</v>
      </c>
      <c r="V64" s="59">
        <f t="shared" si="37"/>
        <v>60.403395833332979</v>
      </c>
      <c r="W64" s="55">
        <f t="shared" si="38"/>
        <v>2.5594659251412279E-2</v>
      </c>
      <c r="X64" s="187"/>
    </row>
    <row r="65" spans="1:24" ht="18" customHeight="1" x14ac:dyDescent="0.2">
      <c r="A65" s="201" t="s">
        <v>602</v>
      </c>
      <c r="B65" s="44" t="s">
        <v>595</v>
      </c>
      <c r="C65" s="206">
        <v>1089</v>
      </c>
      <c r="D65" s="206">
        <v>1160</v>
      </c>
      <c r="E65" s="204">
        <v>1160</v>
      </c>
      <c r="F65" s="204">
        <v>1065</v>
      </c>
      <c r="G65" s="59">
        <f t="shared" si="32"/>
        <v>-95</v>
      </c>
      <c r="H65" s="55">
        <f t="shared" si="39"/>
        <v>-8.1896551724137928E-2</v>
      </c>
      <c r="I65" s="187"/>
      <c r="J65" s="58">
        <v>1150</v>
      </c>
      <c r="K65" s="204">
        <v>1111</v>
      </c>
      <c r="L65" s="59">
        <f t="shared" si="40"/>
        <v>-39</v>
      </c>
      <c r="M65" s="55">
        <f t="shared" si="34"/>
        <v>-3.3913043478260872E-2</v>
      </c>
      <c r="N65" s="187"/>
      <c r="O65" s="58">
        <v>1180</v>
      </c>
      <c r="P65" s="204">
        <v>1116</v>
      </c>
      <c r="Q65" s="59">
        <f t="shared" si="41"/>
        <v>-64</v>
      </c>
      <c r="R65" s="55">
        <f t="shared" si="36"/>
        <v>-5.4237288135593219E-2</v>
      </c>
      <c r="S65" s="187"/>
      <c r="T65" s="58">
        <v>1135</v>
      </c>
      <c r="U65" s="17">
        <f>(4060407.59-1161793.63)/U59/12</f>
        <v>1097.9598333333333</v>
      </c>
      <c r="V65" s="59">
        <f t="shared" si="37"/>
        <v>-37.040166666666664</v>
      </c>
      <c r="W65" s="55">
        <f t="shared" si="38"/>
        <v>-3.2634508076358294E-2</v>
      </c>
      <c r="X65" s="187"/>
    </row>
    <row r="66" spans="1:24" ht="18" customHeight="1" x14ac:dyDescent="0.2">
      <c r="A66" s="213" t="s">
        <v>603</v>
      </c>
      <c r="B66" s="100" t="s">
        <v>604</v>
      </c>
      <c r="C66" s="90">
        <v>630</v>
      </c>
      <c r="D66" s="90">
        <v>639</v>
      </c>
      <c r="E66" s="90">
        <v>632</v>
      </c>
      <c r="F66" s="90">
        <f>SUM(F67:F71)</f>
        <v>633</v>
      </c>
      <c r="G66" s="93">
        <f t="shared" si="32"/>
        <v>1</v>
      </c>
      <c r="H66" s="94">
        <f t="shared" si="39"/>
        <v>1.5822784810126582E-3</v>
      </c>
      <c r="I66" s="221"/>
      <c r="J66" s="90">
        <v>633</v>
      </c>
      <c r="K66" s="90">
        <f>SUM(K67:K71)</f>
        <v>635</v>
      </c>
      <c r="L66" s="93">
        <f t="shared" si="40"/>
        <v>2</v>
      </c>
      <c r="M66" s="94">
        <f t="shared" si="34"/>
        <v>3.1595576619273301E-3</v>
      </c>
      <c r="N66" s="221"/>
      <c r="O66" s="90">
        <v>636</v>
      </c>
      <c r="P66" s="90">
        <v>642</v>
      </c>
      <c r="Q66" s="93">
        <f t="shared" si="41"/>
        <v>6</v>
      </c>
      <c r="R66" s="94">
        <f t="shared" si="36"/>
        <v>9.433962264150943E-3</v>
      </c>
      <c r="S66" s="221"/>
      <c r="T66" s="90">
        <v>639</v>
      </c>
      <c r="U66" s="90">
        <f>SUM(U67:U71)</f>
        <v>642</v>
      </c>
      <c r="V66" s="93">
        <f t="shared" si="37"/>
        <v>3</v>
      </c>
      <c r="W66" s="94">
        <f t="shared" si="38"/>
        <v>4.6948356807511738E-3</v>
      </c>
      <c r="X66" s="221"/>
    </row>
    <row r="67" spans="1:24" ht="18" customHeight="1" x14ac:dyDescent="0.2">
      <c r="A67" s="201" t="s">
        <v>605</v>
      </c>
      <c r="B67" s="222" t="s">
        <v>587</v>
      </c>
      <c r="C67" s="58">
        <v>136</v>
      </c>
      <c r="D67" s="58">
        <v>137</v>
      </c>
      <c r="E67" s="204">
        <v>136</v>
      </c>
      <c r="F67" s="444">
        <v>136</v>
      </c>
      <c r="G67" s="205">
        <f t="shared" si="32"/>
        <v>0</v>
      </c>
      <c r="H67" s="55">
        <f t="shared" si="39"/>
        <v>0</v>
      </c>
      <c r="I67" s="187"/>
      <c r="J67" s="204">
        <v>136</v>
      </c>
      <c r="K67" s="204">
        <v>136</v>
      </c>
      <c r="L67" s="205">
        <f t="shared" si="40"/>
        <v>0</v>
      </c>
      <c r="M67" s="55">
        <f t="shared" si="34"/>
        <v>0</v>
      </c>
      <c r="N67" s="187"/>
      <c r="O67" s="204">
        <v>136</v>
      </c>
      <c r="P67" s="204">
        <v>136</v>
      </c>
      <c r="Q67" s="205">
        <f t="shared" si="41"/>
        <v>0</v>
      </c>
      <c r="R67" s="55">
        <f t="shared" si="36"/>
        <v>0</v>
      </c>
      <c r="S67" s="187"/>
      <c r="T67" s="204">
        <v>137</v>
      </c>
      <c r="U67" s="17">
        <v>138</v>
      </c>
      <c r="V67" s="205">
        <f t="shared" si="37"/>
        <v>1</v>
      </c>
      <c r="W67" s="55">
        <f t="shared" si="38"/>
        <v>7.2992700729927005E-3</v>
      </c>
      <c r="X67" s="187"/>
    </row>
    <row r="68" spans="1:24" ht="18" customHeight="1" x14ac:dyDescent="0.2">
      <c r="A68" s="201" t="s">
        <v>606</v>
      </c>
      <c r="B68" s="222" t="s">
        <v>589</v>
      </c>
      <c r="C68" s="58">
        <v>185</v>
      </c>
      <c r="D68" s="58">
        <v>190</v>
      </c>
      <c r="E68" s="58">
        <v>186</v>
      </c>
      <c r="F68" s="445">
        <v>187</v>
      </c>
      <c r="G68" s="59">
        <f t="shared" si="32"/>
        <v>1</v>
      </c>
      <c r="H68" s="55">
        <f t="shared" si="39"/>
        <v>5.3763440860215058E-3</v>
      </c>
      <c r="I68" s="187"/>
      <c r="J68" s="58">
        <v>187</v>
      </c>
      <c r="K68" s="58">
        <v>188</v>
      </c>
      <c r="L68" s="59">
        <f t="shared" si="40"/>
        <v>1</v>
      </c>
      <c r="M68" s="55">
        <f t="shared" si="34"/>
        <v>5.3475935828877002E-3</v>
      </c>
      <c r="N68" s="187"/>
      <c r="O68" s="58">
        <v>189</v>
      </c>
      <c r="P68" s="58">
        <v>192</v>
      </c>
      <c r="Q68" s="59">
        <f t="shared" si="41"/>
        <v>3</v>
      </c>
      <c r="R68" s="55">
        <f t="shared" si="36"/>
        <v>1.5873015873015872E-2</v>
      </c>
      <c r="S68" s="187"/>
      <c r="T68" s="58">
        <v>190</v>
      </c>
      <c r="U68" s="58">
        <v>191</v>
      </c>
      <c r="V68" s="59">
        <f t="shared" si="37"/>
        <v>1</v>
      </c>
      <c r="W68" s="55">
        <f t="shared" si="38"/>
        <v>5.263157894736842E-3</v>
      </c>
      <c r="X68" s="187"/>
    </row>
    <row r="69" spans="1:24" ht="18" customHeight="1" x14ac:dyDescent="0.2">
      <c r="A69" s="201" t="s">
        <v>607</v>
      </c>
      <c r="B69" s="44" t="s">
        <v>591</v>
      </c>
      <c r="C69" s="206">
        <v>44</v>
      </c>
      <c r="D69" s="206">
        <v>44</v>
      </c>
      <c r="E69" s="58">
        <v>44</v>
      </c>
      <c r="F69" s="445">
        <v>43</v>
      </c>
      <c r="G69" s="59">
        <f t="shared" si="32"/>
        <v>-1</v>
      </c>
      <c r="H69" s="55">
        <f>IFERROR(G69/ABS(E69), "-")</f>
        <v>-2.2727272727272728E-2</v>
      </c>
      <c r="I69" s="187"/>
      <c r="J69" s="58">
        <v>44</v>
      </c>
      <c r="K69" s="58">
        <v>44</v>
      </c>
      <c r="L69" s="59">
        <f t="shared" si="40"/>
        <v>0</v>
      </c>
      <c r="M69" s="55">
        <f t="shared" si="34"/>
        <v>0</v>
      </c>
      <c r="N69" s="187"/>
      <c r="O69" s="58">
        <v>44</v>
      </c>
      <c r="P69" s="58">
        <v>45</v>
      </c>
      <c r="Q69" s="59">
        <f t="shared" si="41"/>
        <v>1</v>
      </c>
      <c r="R69" s="55">
        <f t="shared" si="36"/>
        <v>2.2727272727272728E-2</v>
      </c>
      <c r="S69" s="187"/>
      <c r="T69" s="58">
        <v>44</v>
      </c>
      <c r="U69" s="58">
        <v>44</v>
      </c>
      <c r="V69" s="59">
        <f t="shared" si="37"/>
        <v>0</v>
      </c>
      <c r="W69" s="55">
        <f t="shared" si="38"/>
        <v>0</v>
      </c>
      <c r="X69" s="187"/>
    </row>
    <row r="70" spans="1:24" ht="18" customHeight="1" x14ac:dyDescent="0.2">
      <c r="A70" s="201" t="s">
        <v>608</v>
      </c>
      <c r="B70" s="44" t="s">
        <v>593</v>
      </c>
      <c r="C70" s="206">
        <v>39</v>
      </c>
      <c r="D70" s="206">
        <v>39</v>
      </c>
      <c r="E70" s="58">
        <v>39</v>
      </c>
      <c r="F70" s="445">
        <v>39</v>
      </c>
      <c r="G70" s="59">
        <f t="shared" si="32"/>
        <v>0</v>
      </c>
      <c r="H70" s="55">
        <f>IFERROR(G70/ABS(E70), "-")</f>
        <v>0</v>
      </c>
      <c r="I70" s="187"/>
      <c r="J70" s="58">
        <v>39</v>
      </c>
      <c r="K70" s="58">
        <v>39</v>
      </c>
      <c r="L70" s="59">
        <f t="shared" si="40"/>
        <v>0</v>
      </c>
      <c r="M70" s="55">
        <f t="shared" si="34"/>
        <v>0</v>
      </c>
      <c r="N70" s="187"/>
      <c r="O70" s="58">
        <v>39</v>
      </c>
      <c r="P70" s="58">
        <v>39</v>
      </c>
      <c r="Q70" s="59">
        <f t="shared" si="41"/>
        <v>0</v>
      </c>
      <c r="R70" s="55">
        <f t="shared" si="36"/>
        <v>0</v>
      </c>
      <c r="S70" s="187"/>
      <c r="T70" s="58">
        <v>39</v>
      </c>
      <c r="U70" s="58">
        <v>39</v>
      </c>
      <c r="V70" s="59">
        <f t="shared" si="37"/>
        <v>0</v>
      </c>
      <c r="W70" s="55">
        <f t="shared" si="38"/>
        <v>0</v>
      </c>
      <c r="X70" s="187"/>
    </row>
    <row r="71" spans="1:24" ht="18" customHeight="1" x14ac:dyDescent="0.2">
      <c r="A71" s="201" t="s">
        <v>609</v>
      </c>
      <c r="B71" s="44" t="s">
        <v>595</v>
      </c>
      <c r="C71" s="206">
        <v>226</v>
      </c>
      <c r="D71" s="206">
        <v>229</v>
      </c>
      <c r="E71" s="58">
        <v>227</v>
      </c>
      <c r="F71" s="445">
        <v>228</v>
      </c>
      <c r="G71" s="59">
        <f t="shared" si="32"/>
        <v>1</v>
      </c>
      <c r="H71" s="55">
        <f t="shared" si="39"/>
        <v>4.4052863436123352E-3</v>
      </c>
      <c r="I71" s="187"/>
      <c r="J71" s="58">
        <v>227</v>
      </c>
      <c r="K71" s="58">
        <v>228</v>
      </c>
      <c r="L71" s="59">
        <f t="shared" si="40"/>
        <v>1</v>
      </c>
      <c r="M71" s="55">
        <f t="shared" si="34"/>
        <v>4.4052863436123352E-3</v>
      </c>
      <c r="N71" s="187"/>
      <c r="O71" s="58">
        <v>228</v>
      </c>
      <c r="P71" s="58">
        <v>230</v>
      </c>
      <c r="Q71" s="59">
        <f t="shared" si="41"/>
        <v>2</v>
      </c>
      <c r="R71" s="55">
        <f t="shared" si="36"/>
        <v>8.771929824561403E-3</v>
      </c>
      <c r="S71" s="187"/>
      <c r="T71" s="58">
        <v>229</v>
      </c>
      <c r="U71" s="58">
        <v>230</v>
      </c>
      <c r="V71" s="59">
        <f t="shared" si="37"/>
        <v>1</v>
      </c>
      <c r="W71" s="55">
        <f t="shared" si="38"/>
        <v>4.3668122270742356E-3</v>
      </c>
      <c r="X71" s="187"/>
    </row>
    <row r="72" spans="1:24" ht="18" customHeight="1" x14ac:dyDescent="0.2">
      <c r="A72" s="213" t="s">
        <v>610</v>
      </c>
      <c r="B72" s="100" t="s">
        <v>611</v>
      </c>
      <c r="C72" s="90">
        <v>1703.804761904762</v>
      </c>
      <c r="D72" s="90">
        <v>1835</v>
      </c>
      <c r="E72" s="90">
        <v>1822</v>
      </c>
      <c r="F72" s="90">
        <v>1790</v>
      </c>
      <c r="G72" s="93">
        <f>F72-E72</f>
        <v>-32</v>
      </c>
      <c r="H72" s="94">
        <f t="shared" si="39"/>
        <v>-1.756311745334797E-2</v>
      </c>
      <c r="I72" s="221"/>
      <c r="J72" s="90">
        <v>1882</v>
      </c>
      <c r="K72" s="90">
        <v>1842</v>
      </c>
      <c r="L72" s="93">
        <f>K72-J72</f>
        <v>-40</v>
      </c>
      <c r="M72" s="94">
        <f t="shared" si="34"/>
        <v>-2.1253985122210415E-2</v>
      </c>
      <c r="N72" s="221"/>
      <c r="O72" s="90">
        <v>1820</v>
      </c>
      <c r="P72" s="90">
        <v>1854</v>
      </c>
      <c r="Q72" s="93">
        <f>P72-O72</f>
        <v>34</v>
      </c>
      <c r="R72" s="94">
        <f t="shared" si="36"/>
        <v>1.8681318681318681E-2</v>
      </c>
      <c r="S72" s="221"/>
      <c r="T72" s="90">
        <v>1816</v>
      </c>
      <c r="U72" s="90">
        <f>14723793.4/12/U66</f>
        <v>1911.1881360332297</v>
      </c>
      <c r="V72" s="411">
        <f t="shared" si="37"/>
        <v>95.188136033229739</v>
      </c>
      <c r="W72" s="94">
        <f>IFERROR(V72/ABS(T72), "-")</f>
        <v>5.2416374467637521E-2</v>
      </c>
      <c r="X72" s="221"/>
    </row>
    <row r="73" spans="1:24" ht="18" customHeight="1" x14ac:dyDescent="0.2">
      <c r="A73" s="201" t="s">
        <v>612</v>
      </c>
      <c r="B73" s="222" t="s">
        <v>587</v>
      </c>
      <c r="C73" s="58">
        <v>2556</v>
      </c>
      <c r="D73" s="58">
        <v>2750</v>
      </c>
      <c r="E73" s="204">
        <v>2705</v>
      </c>
      <c r="F73" s="204">
        <v>2736</v>
      </c>
      <c r="G73" s="205">
        <f t="shared" si="32"/>
        <v>31</v>
      </c>
      <c r="H73" s="55">
        <f t="shared" si="39"/>
        <v>1.1460258780036968E-2</v>
      </c>
      <c r="I73" s="187"/>
      <c r="J73" s="204">
        <v>2930</v>
      </c>
      <c r="K73" s="204">
        <v>2828</v>
      </c>
      <c r="L73" s="205">
        <f t="shared" si="40"/>
        <v>-102</v>
      </c>
      <c r="M73" s="55">
        <f t="shared" si="34"/>
        <v>-3.4812286689419797E-2</v>
      </c>
      <c r="N73" s="187"/>
      <c r="O73" s="204">
        <v>2690</v>
      </c>
      <c r="P73" s="204">
        <v>2895</v>
      </c>
      <c r="Q73" s="205">
        <f t="shared" si="41"/>
        <v>205</v>
      </c>
      <c r="R73" s="55">
        <f t="shared" si="36"/>
        <v>7.6208178438661706E-2</v>
      </c>
      <c r="S73" s="187"/>
      <c r="T73" s="204">
        <v>2680</v>
      </c>
      <c r="U73" s="204">
        <f>(4845987.9/U67/12)</f>
        <v>2926.3211956521741</v>
      </c>
      <c r="V73" s="205">
        <f t="shared" si="37"/>
        <v>246.32119565217408</v>
      </c>
      <c r="W73" s="55">
        <f>IFERROR(V73/ABS(T73), "-")</f>
        <v>9.1910893900064961E-2</v>
      </c>
      <c r="X73" s="187"/>
    </row>
    <row r="74" spans="1:24" ht="18" customHeight="1" x14ac:dyDescent="0.2">
      <c r="A74" s="201" t="s">
        <v>613</v>
      </c>
      <c r="B74" s="222" t="s">
        <v>589</v>
      </c>
      <c r="C74" s="58">
        <v>1894</v>
      </c>
      <c r="D74" s="58">
        <v>2040</v>
      </c>
      <c r="E74" s="58">
        <v>2030</v>
      </c>
      <c r="F74" s="58">
        <v>2030</v>
      </c>
      <c r="G74" s="59">
        <f t="shared" si="32"/>
        <v>0</v>
      </c>
      <c r="H74" s="55">
        <f t="shared" si="39"/>
        <v>0</v>
      </c>
      <c r="I74" s="187"/>
      <c r="J74" s="58">
        <v>2065</v>
      </c>
      <c r="K74" s="58">
        <v>2089</v>
      </c>
      <c r="L74" s="59">
        <f t="shared" si="40"/>
        <v>24</v>
      </c>
      <c r="M74" s="55">
        <f t="shared" si="34"/>
        <v>1.1622276029055689E-2</v>
      </c>
      <c r="N74" s="187"/>
      <c r="O74" s="58">
        <v>2015</v>
      </c>
      <c r="P74" s="58">
        <v>2088</v>
      </c>
      <c r="Q74" s="59">
        <f t="shared" si="41"/>
        <v>73</v>
      </c>
      <c r="R74" s="55">
        <f t="shared" si="36"/>
        <v>3.6228287841191066E-2</v>
      </c>
      <c r="S74" s="187"/>
      <c r="T74" s="58">
        <v>2047</v>
      </c>
      <c r="U74" s="58">
        <f>4973728.09/U68/12</f>
        <v>2170.0384336823731</v>
      </c>
      <c r="V74" s="59">
        <f>U74-T74</f>
        <v>123.03843368237312</v>
      </c>
      <c r="W74" s="55">
        <f t="shared" si="38"/>
        <v>6.010670917556088E-2</v>
      </c>
      <c r="X74" s="187"/>
    </row>
    <row r="75" spans="1:24" ht="18" customHeight="1" x14ac:dyDescent="0.2">
      <c r="A75" s="201" t="s">
        <v>614</v>
      </c>
      <c r="B75" s="44" t="s">
        <v>591</v>
      </c>
      <c r="C75" s="206">
        <v>1084</v>
      </c>
      <c r="D75" s="206">
        <v>1155</v>
      </c>
      <c r="E75" s="58">
        <v>1140</v>
      </c>
      <c r="F75" s="58">
        <v>1156</v>
      </c>
      <c r="G75" s="59">
        <f t="shared" si="32"/>
        <v>16</v>
      </c>
      <c r="H75" s="55">
        <f t="shared" si="39"/>
        <v>1.4035087719298246E-2</v>
      </c>
      <c r="I75" s="187"/>
      <c r="J75" s="58">
        <v>1200</v>
      </c>
      <c r="K75" s="58">
        <v>1176</v>
      </c>
      <c r="L75" s="59">
        <f t="shared" si="40"/>
        <v>-24</v>
      </c>
      <c r="M75" s="55">
        <f t="shared" si="34"/>
        <v>-0.02</v>
      </c>
      <c r="N75" s="187"/>
      <c r="O75" s="58">
        <v>1118</v>
      </c>
      <c r="P75" s="58">
        <v>1165</v>
      </c>
      <c r="Q75" s="59">
        <f t="shared" si="41"/>
        <v>47</v>
      </c>
      <c r="R75" s="55">
        <f t="shared" si="36"/>
        <v>4.2039355992844363E-2</v>
      </c>
      <c r="S75" s="187"/>
      <c r="T75" s="58">
        <v>1160</v>
      </c>
      <c r="U75" s="58">
        <f>663010.5/U69/12</f>
        <v>1255.7017045454545</v>
      </c>
      <c r="V75" s="59">
        <f t="shared" si="37"/>
        <v>95.701704545454504</v>
      </c>
      <c r="W75" s="55">
        <f t="shared" si="38"/>
        <v>8.2501469435736635E-2</v>
      </c>
      <c r="X75" s="187"/>
    </row>
    <row r="76" spans="1:24" ht="18" customHeight="1" x14ac:dyDescent="0.2">
      <c r="A76" s="201" t="s">
        <v>615</v>
      </c>
      <c r="B76" s="44" t="s">
        <v>593</v>
      </c>
      <c r="C76" s="206">
        <v>2341</v>
      </c>
      <c r="D76" s="206">
        <v>2350</v>
      </c>
      <c r="E76" s="58">
        <v>2300</v>
      </c>
      <c r="F76" s="58">
        <v>2478</v>
      </c>
      <c r="G76" s="59">
        <f t="shared" si="32"/>
        <v>178</v>
      </c>
      <c r="H76" s="55">
        <f t="shared" si="39"/>
        <v>7.7391304347826081E-2</v>
      </c>
      <c r="I76" s="187"/>
      <c r="J76" s="58">
        <v>2284</v>
      </c>
      <c r="K76" s="58">
        <v>2511</v>
      </c>
      <c r="L76" s="59">
        <f t="shared" si="40"/>
        <v>227</v>
      </c>
      <c r="M76" s="55">
        <f t="shared" si="34"/>
        <v>9.9387040280210157E-2</v>
      </c>
      <c r="N76" s="187"/>
      <c r="O76" s="58">
        <v>2405</v>
      </c>
      <c r="P76" s="58">
        <v>2554</v>
      </c>
      <c r="Q76" s="59">
        <f t="shared" si="41"/>
        <v>149</v>
      </c>
      <c r="R76" s="55">
        <f t="shared" si="36"/>
        <v>6.1954261954261958E-2</v>
      </c>
      <c r="S76" s="187"/>
      <c r="T76" s="58">
        <v>2410</v>
      </c>
      <c r="U76" s="58">
        <f>1161793.63/U70/12</f>
        <v>2482.4650213675209</v>
      </c>
      <c r="V76" s="59">
        <f t="shared" si="37"/>
        <v>72.465021367520876</v>
      </c>
      <c r="W76" s="55">
        <f t="shared" si="38"/>
        <v>3.0068473596481692E-2</v>
      </c>
      <c r="X76" s="187"/>
    </row>
    <row r="77" spans="1:24" ht="18" customHeight="1" x14ac:dyDescent="0.2">
      <c r="A77" s="201" t="s">
        <v>616</v>
      </c>
      <c r="B77" s="44" t="s">
        <v>595</v>
      </c>
      <c r="C77" s="206">
        <v>1046</v>
      </c>
      <c r="D77" s="206">
        <v>1120</v>
      </c>
      <c r="E77" s="58">
        <v>1130</v>
      </c>
      <c r="F77" s="58">
        <v>1018</v>
      </c>
      <c r="G77" s="59">
        <f t="shared" si="32"/>
        <v>-112</v>
      </c>
      <c r="H77" s="55">
        <f t="shared" si="39"/>
        <v>-9.9115044247787609E-2</v>
      </c>
      <c r="I77" s="187"/>
      <c r="J77" s="58">
        <v>1120</v>
      </c>
      <c r="K77" s="58">
        <v>1062</v>
      </c>
      <c r="L77" s="59">
        <f t="shared" si="40"/>
        <v>-58</v>
      </c>
      <c r="M77" s="55">
        <f t="shared" si="34"/>
        <v>-5.1785714285714289E-2</v>
      </c>
      <c r="N77" s="187"/>
      <c r="O77" s="58">
        <v>1130</v>
      </c>
      <c r="P77" s="58">
        <v>1058</v>
      </c>
      <c r="Q77" s="59">
        <f t="shared" si="41"/>
        <v>-72</v>
      </c>
      <c r="R77" s="55">
        <f t="shared" si="36"/>
        <v>-6.3716814159292035E-2</v>
      </c>
      <c r="S77" s="187"/>
      <c r="T77" s="58">
        <v>1090</v>
      </c>
      <c r="U77" s="58">
        <f>(4060407.59-1161793.63)/U71/12</f>
        <v>1050.2224492753624</v>
      </c>
      <c r="V77" s="59">
        <f t="shared" si="37"/>
        <v>-39.777550724637649</v>
      </c>
      <c r="W77" s="55">
        <f t="shared" si="38"/>
        <v>-3.6493165802419861E-2</v>
      </c>
      <c r="X77" s="187"/>
    </row>
    <row r="78" spans="1:24" ht="18" customHeight="1" x14ac:dyDescent="0.2">
      <c r="A78" s="213" t="s">
        <v>617</v>
      </c>
      <c r="B78" s="95" t="s">
        <v>618</v>
      </c>
      <c r="C78" s="224" t="s">
        <v>485</v>
      </c>
      <c r="D78" s="269" t="s">
        <v>485</v>
      </c>
      <c r="E78" s="224" t="s">
        <v>485</v>
      </c>
      <c r="F78" s="183" t="s">
        <v>485</v>
      </c>
      <c r="G78" s="183" t="s">
        <v>485</v>
      </c>
      <c r="H78" s="200" t="s">
        <v>485</v>
      </c>
      <c r="I78" s="200" t="s">
        <v>485</v>
      </c>
      <c r="J78" s="199" t="s">
        <v>485</v>
      </c>
      <c r="K78" s="183" t="s">
        <v>485</v>
      </c>
      <c r="L78" s="183" t="s">
        <v>485</v>
      </c>
      <c r="M78" s="200" t="s">
        <v>485</v>
      </c>
      <c r="N78" s="200" t="s">
        <v>485</v>
      </c>
      <c r="O78" s="199"/>
      <c r="P78" s="183" t="s">
        <v>485</v>
      </c>
      <c r="Q78" s="183" t="s">
        <v>485</v>
      </c>
      <c r="R78" s="200" t="s">
        <v>485</v>
      </c>
      <c r="S78" s="200" t="s">
        <v>485</v>
      </c>
      <c r="T78" s="199"/>
      <c r="U78" s="183" t="s">
        <v>485</v>
      </c>
      <c r="V78" s="183" t="s">
        <v>485</v>
      </c>
      <c r="W78" s="200" t="s">
        <v>485</v>
      </c>
      <c r="X78" s="200" t="s">
        <v>485</v>
      </c>
    </row>
    <row r="79" spans="1:24" ht="18" customHeight="1" x14ac:dyDescent="0.2">
      <c r="A79" s="201" t="s">
        <v>619</v>
      </c>
      <c r="B79" s="44" t="s">
        <v>620</v>
      </c>
      <c r="C79" s="225">
        <v>12</v>
      </c>
      <c r="D79" s="225">
        <v>12</v>
      </c>
      <c r="E79" s="58">
        <v>12</v>
      </c>
      <c r="F79" s="58">
        <v>12</v>
      </c>
      <c r="G79" s="59">
        <f t="shared" ref="G79:G82" si="42">F79-E79</f>
        <v>0</v>
      </c>
      <c r="H79" s="219">
        <f t="shared" ref="H79:H82" si="43">IFERROR(G79/ABS(E79), "-")</f>
        <v>0</v>
      </c>
      <c r="I79" s="187"/>
      <c r="J79" s="226">
        <v>12</v>
      </c>
      <c r="K79" s="58">
        <v>12</v>
      </c>
      <c r="L79" s="59">
        <f t="shared" ref="L79:L82" si="44">K79-J79</f>
        <v>0</v>
      </c>
      <c r="M79" s="219">
        <f t="shared" ref="M79:M82" si="45">IFERROR(L79/ABS(J79), "-")</f>
        <v>0</v>
      </c>
      <c r="N79" s="187"/>
      <c r="O79" s="226">
        <v>12</v>
      </c>
      <c r="P79" s="58">
        <v>12</v>
      </c>
      <c r="Q79" s="59">
        <f t="shared" ref="Q79:Q82" si="46">P79-O79</f>
        <v>0</v>
      </c>
      <c r="R79" s="219">
        <f t="shared" ref="R79:R81" si="47">IFERROR(Q79/ABS(O79), "-")</f>
        <v>0</v>
      </c>
      <c r="S79" s="187"/>
      <c r="T79" s="226">
        <v>12</v>
      </c>
      <c r="U79" s="58">
        <v>12</v>
      </c>
      <c r="V79" s="59">
        <f t="shared" ref="V79:V82" si="48">U79-T79</f>
        <v>0</v>
      </c>
      <c r="W79" s="219">
        <f t="shared" ref="W79:W82" si="49">IFERROR(V79/ABS(T79), "-")</f>
        <v>0</v>
      </c>
      <c r="X79" s="187"/>
    </row>
    <row r="80" spans="1:24" ht="82.5" customHeight="1" x14ac:dyDescent="0.2">
      <c r="A80" s="201" t="s">
        <v>621</v>
      </c>
      <c r="B80" s="44" t="s">
        <v>622</v>
      </c>
      <c r="C80" s="225">
        <v>30.74</v>
      </c>
      <c r="D80" s="225">
        <v>30</v>
      </c>
      <c r="E80" s="58">
        <v>31</v>
      </c>
      <c r="F80" s="58">
        <v>30.76</v>
      </c>
      <c r="G80" s="59">
        <f t="shared" si="42"/>
        <v>-0.23999999999999844</v>
      </c>
      <c r="H80" s="219">
        <f t="shared" si="43"/>
        <v>-7.7419354838709174E-3</v>
      </c>
      <c r="I80" s="187"/>
      <c r="J80" s="226">
        <v>30</v>
      </c>
      <c r="K80" s="58">
        <v>29</v>
      </c>
      <c r="L80" s="59">
        <f t="shared" si="44"/>
        <v>-1</v>
      </c>
      <c r="M80" s="219">
        <f t="shared" si="45"/>
        <v>-3.3333333333333333E-2</v>
      </c>
      <c r="N80" s="187"/>
      <c r="O80" s="226">
        <v>31</v>
      </c>
      <c r="P80" s="58">
        <v>29</v>
      </c>
      <c r="Q80" s="59">
        <f t="shared" si="46"/>
        <v>-2</v>
      </c>
      <c r="R80" s="219">
        <f t="shared" si="47"/>
        <v>-6.4516129032258063E-2</v>
      </c>
      <c r="S80" s="187"/>
      <c r="T80" s="226">
        <v>30</v>
      </c>
      <c r="U80" s="58">
        <v>19.46</v>
      </c>
      <c r="V80" s="59">
        <f t="shared" si="48"/>
        <v>-10.54</v>
      </c>
      <c r="W80" s="219">
        <f t="shared" si="49"/>
        <v>-0.35133333333333333</v>
      </c>
      <c r="X80" s="568" t="s">
        <v>623</v>
      </c>
    </row>
    <row r="81" spans="1:24" ht="36" customHeight="1" x14ac:dyDescent="0.2">
      <c r="A81" s="201" t="s">
        <v>624</v>
      </c>
      <c r="B81" s="44" t="s">
        <v>625</v>
      </c>
      <c r="C81" s="225">
        <v>22</v>
      </c>
      <c r="D81" s="225">
        <v>20</v>
      </c>
      <c r="E81" s="58">
        <v>22</v>
      </c>
      <c r="F81" s="58">
        <v>22</v>
      </c>
      <c r="G81" s="59">
        <f t="shared" si="42"/>
        <v>0</v>
      </c>
      <c r="H81" s="219">
        <f t="shared" si="43"/>
        <v>0</v>
      </c>
      <c r="I81" s="187"/>
      <c r="J81" s="226">
        <v>21</v>
      </c>
      <c r="K81" s="58">
        <v>21</v>
      </c>
      <c r="L81" s="59">
        <f t="shared" si="44"/>
        <v>0</v>
      </c>
      <c r="M81" s="219">
        <f t="shared" si="45"/>
        <v>0</v>
      </c>
      <c r="N81" s="187"/>
      <c r="O81" s="226">
        <v>20</v>
      </c>
      <c r="P81" s="58">
        <v>20</v>
      </c>
      <c r="Q81" s="59">
        <f t="shared" si="46"/>
        <v>0</v>
      </c>
      <c r="R81" s="219">
        <f t="shared" si="47"/>
        <v>0</v>
      </c>
      <c r="S81" s="187"/>
      <c r="T81" s="226">
        <v>20</v>
      </c>
      <c r="U81" s="58">
        <v>20</v>
      </c>
      <c r="V81" s="59">
        <f t="shared" si="48"/>
        <v>0</v>
      </c>
      <c r="W81" s="219">
        <f t="shared" si="49"/>
        <v>0</v>
      </c>
      <c r="X81" s="187"/>
    </row>
    <row r="82" spans="1:24" ht="34.5" customHeight="1" x14ac:dyDescent="0.2">
      <c r="A82" s="201" t="s">
        <v>626</v>
      </c>
      <c r="B82" s="44" t="s">
        <v>627</v>
      </c>
      <c r="C82" s="225">
        <v>40</v>
      </c>
      <c r="D82" s="225">
        <v>40</v>
      </c>
      <c r="E82" s="58">
        <v>40</v>
      </c>
      <c r="F82" s="58">
        <v>40</v>
      </c>
      <c r="G82" s="59">
        <f t="shared" si="42"/>
        <v>0</v>
      </c>
      <c r="H82" s="219">
        <f t="shared" si="43"/>
        <v>0</v>
      </c>
      <c r="I82" s="187"/>
      <c r="J82" s="226">
        <v>40</v>
      </c>
      <c r="K82" s="58">
        <v>40</v>
      </c>
      <c r="L82" s="59">
        <f t="shared" si="44"/>
        <v>0</v>
      </c>
      <c r="M82" s="219">
        <f t="shared" si="45"/>
        <v>0</v>
      </c>
      <c r="N82" s="187"/>
      <c r="O82" s="226">
        <v>40</v>
      </c>
      <c r="P82" s="58">
        <v>41</v>
      </c>
      <c r="Q82" s="59">
        <f t="shared" si="46"/>
        <v>1</v>
      </c>
      <c r="R82" s="219">
        <f>IFERROR(Q82/ABS(O82), "-")</f>
        <v>2.5000000000000001E-2</v>
      </c>
      <c r="S82" s="187"/>
      <c r="T82" s="226">
        <v>40</v>
      </c>
      <c r="U82" s="58">
        <v>40</v>
      </c>
      <c r="V82" s="59">
        <f t="shared" si="48"/>
        <v>0</v>
      </c>
      <c r="W82" s="219">
        <f t="shared" si="49"/>
        <v>0</v>
      </c>
      <c r="X82" s="187"/>
    </row>
    <row r="83" spans="1:24" ht="18" customHeight="1" x14ac:dyDescent="0.2">
      <c r="A83" s="274" t="s">
        <v>628</v>
      </c>
      <c r="B83" s="275" t="s">
        <v>629</v>
      </c>
      <c r="C83" s="276" t="s">
        <v>485</v>
      </c>
      <c r="D83" s="269" t="s">
        <v>485</v>
      </c>
      <c r="E83" s="269" t="s">
        <v>485</v>
      </c>
      <c r="F83" s="270" t="s">
        <v>485</v>
      </c>
      <c r="G83" s="270" t="s">
        <v>485</v>
      </c>
      <c r="H83" s="271" t="s">
        <v>485</v>
      </c>
      <c r="I83" s="271" t="s">
        <v>485</v>
      </c>
      <c r="J83" s="269" t="s">
        <v>485</v>
      </c>
      <c r="K83" s="270" t="s">
        <v>485</v>
      </c>
      <c r="L83" s="270" t="s">
        <v>485</v>
      </c>
      <c r="M83" s="271" t="s">
        <v>485</v>
      </c>
      <c r="N83" s="271" t="s">
        <v>485</v>
      </c>
      <c r="O83" s="269" t="s">
        <v>485</v>
      </c>
      <c r="P83" s="270" t="s">
        <v>485</v>
      </c>
      <c r="Q83" s="270" t="s">
        <v>485</v>
      </c>
      <c r="R83" s="271" t="s">
        <v>485</v>
      </c>
      <c r="S83" s="271" t="s">
        <v>485</v>
      </c>
      <c r="T83" s="269" t="s">
        <v>485</v>
      </c>
      <c r="U83" s="270" t="s">
        <v>485</v>
      </c>
      <c r="V83" s="270" t="s">
        <v>485</v>
      </c>
      <c r="W83" s="271" t="s">
        <v>485</v>
      </c>
      <c r="X83" s="271" t="s">
        <v>485</v>
      </c>
    </row>
    <row r="84" spans="1:24" ht="18" customHeight="1" x14ac:dyDescent="0.2">
      <c r="A84" s="207" t="s">
        <v>630</v>
      </c>
      <c r="B84" s="14" t="s">
        <v>631</v>
      </c>
      <c r="C84" s="171">
        <v>27434</v>
      </c>
      <c r="D84" s="171">
        <v>27434</v>
      </c>
      <c r="E84" s="171">
        <v>27434</v>
      </c>
      <c r="F84" s="171">
        <v>27434</v>
      </c>
      <c r="G84" s="79">
        <f t="shared" ref="G84:G89" si="50">F84-E84</f>
        <v>0</v>
      </c>
      <c r="H84" s="69">
        <f t="shared" ref="H84:H89" si="51">IFERROR(G84/ABS(E84), "-")</f>
        <v>0</v>
      </c>
      <c r="I84" s="171"/>
      <c r="J84" s="171">
        <f>E84</f>
        <v>27434</v>
      </c>
      <c r="K84" s="171">
        <v>27434</v>
      </c>
      <c r="L84" s="79">
        <f t="shared" ref="L84:L85" si="52">K84-J84</f>
        <v>0</v>
      </c>
      <c r="M84" s="69">
        <f t="shared" ref="M84:M89" si="53">IFERROR(L84/ABS(J84), "-")</f>
        <v>0</v>
      </c>
      <c r="N84" s="171"/>
      <c r="O84" s="171">
        <f>J84</f>
        <v>27434</v>
      </c>
      <c r="P84" s="171">
        <f>K84</f>
        <v>27434</v>
      </c>
      <c r="Q84" s="79">
        <f t="shared" ref="Q84:Q89" si="54">P84-O84</f>
        <v>0</v>
      </c>
      <c r="R84" s="69">
        <f>IFERROR(Q84/ABS(O84), "-")</f>
        <v>0</v>
      </c>
      <c r="S84" s="171"/>
      <c r="T84" s="171">
        <v>27434</v>
      </c>
      <c r="U84" s="171">
        <v>27434</v>
      </c>
      <c r="V84" s="79">
        <f t="shared" ref="V84:V89" si="55">U84-T84</f>
        <v>0</v>
      </c>
      <c r="W84" s="69">
        <f t="shared" ref="W84:W89" si="56">IFERROR(V84/ABS(T84), "-")</f>
        <v>0</v>
      </c>
      <c r="X84" s="208"/>
    </row>
    <row r="85" spans="1:24" ht="18" customHeight="1" x14ac:dyDescent="0.2">
      <c r="A85" s="207" t="s">
        <v>632</v>
      </c>
      <c r="B85" s="227" t="s">
        <v>633</v>
      </c>
      <c r="C85" s="171">
        <v>8230</v>
      </c>
      <c r="D85" s="171">
        <v>8230</v>
      </c>
      <c r="E85" s="171">
        <v>8230</v>
      </c>
      <c r="F85" s="171">
        <v>8230</v>
      </c>
      <c r="G85" s="79" t="s">
        <v>235</v>
      </c>
      <c r="H85" s="69" t="str">
        <f t="shared" si="51"/>
        <v>-</v>
      </c>
      <c r="I85" s="208"/>
      <c r="J85" s="171">
        <v>8230</v>
      </c>
      <c r="K85" s="78">
        <v>8230</v>
      </c>
      <c r="L85" s="79">
        <f t="shared" si="52"/>
        <v>0</v>
      </c>
      <c r="M85" s="69">
        <f t="shared" si="53"/>
        <v>0</v>
      </c>
      <c r="N85" s="208"/>
      <c r="O85" s="171">
        <v>8230</v>
      </c>
      <c r="P85" s="171">
        <v>8230</v>
      </c>
      <c r="Q85" s="79">
        <f t="shared" si="54"/>
        <v>0</v>
      </c>
      <c r="R85" s="69">
        <f t="shared" ref="R85:R89" si="57">IFERROR(Q85/ABS(O85), "-")</f>
        <v>0</v>
      </c>
      <c r="S85" s="208"/>
      <c r="T85" s="171">
        <v>8230</v>
      </c>
      <c r="U85" s="171">
        <v>8230</v>
      </c>
      <c r="V85" s="79">
        <f t="shared" si="55"/>
        <v>0</v>
      </c>
      <c r="W85" s="69">
        <f t="shared" si="56"/>
        <v>0</v>
      </c>
      <c r="X85" s="208"/>
    </row>
    <row r="86" spans="1:24" ht="18" customHeight="1" x14ac:dyDescent="0.2">
      <c r="A86" s="207" t="s">
        <v>634</v>
      </c>
      <c r="B86" s="35" t="s">
        <v>635</v>
      </c>
      <c r="C86" s="171">
        <v>3128700</v>
      </c>
      <c r="D86" s="171">
        <v>3128700</v>
      </c>
      <c r="E86" s="17">
        <v>1403500</v>
      </c>
      <c r="F86" s="17">
        <v>1406400</v>
      </c>
      <c r="G86" s="79">
        <f t="shared" si="50"/>
        <v>2900</v>
      </c>
      <c r="H86" s="69">
        <f t="shared" si="51"/>
        <v>2.0662629141432135E-3</v>
      </c>
      <c r="I86" s="358"/>
      <c r="J86" s="17">
        <f>1916800</f>
        <v>1916800</v>
      </c>
      <c r="K86" s="17">
        <v>1843500</v>
      </c>
      <c r="L86" s="79">
        <f>K86-J86</f>
        <v>-73300</v>
      </c>
      <c r="M86" s="69">
        <f t="shared" si="53"/>
        <v>-3.8240818030050083E-2</v>
      </c>
      <c r="N86" s="208"/>
      <c r="O86" s="17">
        <v>2070300</v>
      </c>
      <c r="P86" s="17">
        <v>2000800</v>
      </c>
      <c r="Q86" s="79">
        <f t="shared" si="54"/>
        <v>-69500</v>
      </c>
      <c r="R86" s="69">
        <f>IFERROR(Q86/ABS(O86), "-")</f>
        <v>-3.3570014007631745E-2</v>
      </c>
      <c r="S86" s="208"/>
      <c r="T86" s="171">
        <v>3128700</v>
      </c>
      <c r="U86" s="17">
        <v>2996000</v>
      </c>
      <c r="V86" s="79">
        <f t="shared" si="55"/>
        <v>-132700</v>
      </c>
      <c r="W86" s="69">
        <f t="shared" si="56"/>
        <v>-4.2413782082014892E-2</v>
      </c>
      <c r="X86" s="208"/>
    </row>
    <row r="87" spans="1:24" x14ac:dyDescent="0.2">
      <c r="A87" s="207" t="s">
        <v>636</v>
      </c>
      <c r="B87" s="35" t="s">
        <v>637</v>
      </c>
      <c r="C87" s="171">
        <v>1620338</v>
      </c>
      <c r="D87" s="171">
        <v>1620338</v>
      </c>
      <c r="E87" s="17">
        <v>442466</v>
      </c>
      <c r="F87" s="17">
        <v>463387</v>
      </c>
      <c r="G87" s="79">
        <f>F87-E87</f>
        <v>20921</v>
      </c>
      <c r="H87" s="69">
        <f>IFERROR(G87/ABS(E87), "-")</f>
        <v>4.7282729068448194E-2</v>
      </c>
      <c r="I87" s="358"/>
      <c r="J87" s="17">
        <f>808273</f>
        <v>808273</v>
      </c>
      <c r="K87" s="17">
        <v>865802.96</v>
      </c>
      <c r="L87" s="79">
        <f t="shared" ref="L87:L89" si="58">K87-J87</f>
        <v>57529.959999999963</v>
      </c>
      <c r="M87" s="69">
        <f t="shared" si="53"/>
        <v>7.1176397083658569E-2</v>
      </c>
      <c r="N87" s="208"/>
      <c r="O87" s="17">
        <v>1204655</v>
      </c>
      <c r="P87" s="17">
        <v>1276649</v>
      </c>
      <c r="Q87" s="79">
        <f>P87-O87</f>
        <v>71994</v>
      </c>
      <c r="R87" s="69">
        <f>IFERROR(Q87/ABS(O87), "-")</f>
        <v>5.9763168708053344E-2</v>
      </c>
      <c r="S87" s="208"/>
      <c r="T87" s="171">
        <v>1620338</v>
      </c>
      <c r="U87" s="17">
        <v>1724076</v>
      </c>
      <c r="V87" s="79">
        <f t="shared" si="55"/>
        <v>103738</v>
      </c>
      <c r="W87" s="69">
        <f t="shared" si="56"/>
        <v>6.4022444699809541E-2</v>
      </c>
      <c r="X87" s="208"/>
    </row>
    <row r="88" spans="1:24" ht="18" customHeight="1" x14ac:dyDescent="0.2">
      <c r="A88" s="207" t="s">
        <v>638</v>
      </c>
      <c r="B88" s="35" t="s">
        <v>639</v>
      </c>
      <c r="C88" s="171">
        <v>17578</v>
      </c>
      <c r="D88" s="171">
        <v>17578</v>
      </c>
      <c r="E88" s="17">
        <v>4992</v>
      </c>
      <c r="F88" s="17">
        <v>4913</v>
      </c>
      <c r="G88" s="79">
        <f t="shared" si="50"/>
        <v>-79</v>
      </c>
      <c r="H88" s="69">
        <f t="shared" si="51"/>
        <v>-1.5825320512820512E-2</v>
      </c>
      <c r="I88" s="208"/>
      <c r="J88" s="17">
        <v>9400</v>
      </c>
      <c r="K88" s="17">
        <v>10001</v>
      </c>
      <c r="L88" s="79">
        <f t="shared" si="58"/>
        <v>601</v>
      </c>
      <c r="M88" s="69">
        <f t="shared" si="53"/>
        <v>6.3936170212765958E-2</v>
      </c>
      <c r="N88" s="208"/>
      <c r="O88" s="17">
        <v>13486</v>
      </c>
      <c r="P88" s="17">
        <v>15269</v>
      </c>
      <c r="Q88" s="79">
        <f t="shared" si="54"/>
        <v>1783</v>
      </c>
      <c r="R88" s="69">
        <f t="shared" si="57"/>
        <v>0.13221118196648377</v>
      </c>
      <c r="S88" s="208"/>
      <c r="T88" s="171">
        <v>17578</v>
      </c>
      <c r="U88" s="17">
        <v>19744</v>
      </c>
      <c r="V88" s="79">
        <f t="shared" si="55"/>
        <v>2166</v>
      </c>
      <c r="W88" s="69">
        <f t="shared" si="56"/>
        <v>0.12322220958015702</v>
      </c>
      <c r="X88" s="208"/>
    </row>
    <row r="89" spans="1:24" ht="24.75" customHeight="1" x14ac:dyDescent="0.2">
      <c r="A89" s="207" t="s">
        <v>640</v>
      </c>
      <c r="B89" s="35" t="s">
        <v>641</v>
      </c>
      <c r="C89" s="171">
        <v>18882</v>
      </c>
      <c r="D89" s="171">
        <v>18882</v>
      </c>
      <c r="E89" s="17">
        <v>5497</v>
      </c>
      <c r="F89" s="17">
        <v>5239</v>
      </c>
      <c r="G89" s="79">
        <f t="shared" si="50"/>
        <v>-258</v>
      </c>
      <c r="H89" s="69">
        <f t="shared" si="51"/>
        <v>-4.6934691649990902E-2</v>
      </c>
      <c r="I89" s="208"/>
      <c r="J89" s="17">
        <v>9675</v>
      </c>
      <c r="K89" s="17">
        <v>10653.02</v>
      </c>
      <c r="L89" s="79">
        <f t="shared" si="58"/>
        <v>978.02000000000044</v>
      </c>
      <c r="M89" s="69">
        <f t="shared" si="53"/>
        <v>0.10108733850129203</v>
      </c>
      <c r="N89" s="208"/>
      <c r="O89" s="17">
        <v>14998</v>
      </c>
      <c r="P89" s="17">
        <v>16247</v>
      </c>
      <c r="Q89" s="79">
        <f t="shared" si="54"/>
        <v>1249</v>
      </c>
      <c r="R89" s="69">
        <f t="shared" si="57"/>
        <v>8.3277770369382581E-2</v>
      </c>
      <c r="S89" s="208"/>
      <c r="T89" s="171">
        <v>18882</v>
      </c>
      <c r="U89" s="204">
        <v>21048</v>
      </c>
      <c r="V89" s="59">
        <f t="shared" si="55"/>
        <v>2166</v>
      </c>
      <c r="W89" s="55">
        <f t="shared" si="56"/>
        <v>0.11471242453129965</v>
      </c>
      <c r="X89" s="187"/>
    </row>
    <row r="90" spans="1:24" ht="18" customHeight="1" x14ac:dyDescent="0.2">
      <c r="A90" s="274" t="s">
        <v>642</v>
      </c>
      <c r="B90" s="281" t="s">
        <v>643</v>
      </c>
      <c r="C90" s="265" t="s">
        <v>485</v>
      </c>
      <c r="D90" s="269" t="s">
        <v>485</v>
      </c>
      <c r="E90" s="282" t="s">
        <v>485</v>
      </c>
      <c r="F90" s="282" t="s">
        <v>485</v>
      </c>
      <c r="G90" s="270" t="s">
        <v>485</v>
      </c>
      <c r="H90" s="283" t="s">
        <v>485</v>
      </c>
      <c r="I90" s="283" t="s">
        <v>485</v>
      </c>
      <c r="J90" s="282" t="s">
        <v>485</v>
      </c>
      <c r="K90" s="282" t="s">
        <v>485</v>
      </c>
      <c r="L90" s="270" t="s">
        <v>485</v>
      </c>
      <c r="M90" s="283" t="s">
        <v>485</v>
      </c>
      <c r="N90" s="283" t="s">
        <v>485</v>
      </c>
      <c r="O90" s="282" t="s">
        <v>485</v>
      </c>
      <c r="P90" s="282" t="s">
        <v>485</v>
      </c>
      <c r="Q90" s="270" t="s">
        <v>485</v>
      </c>
      <c r="R90" s="283" t="s">
        <v>485</v>
      </c>
      <c r="S90" s="283" t="s">
        <v>485</v>
      </c>
      <c r="T90" s="282" t="s">
        <v>485</v>
      </c>
      <c r="U90" s="282" t="s">
        <v>485</v>
      </c>
      <c r="V90" s="270" t="s">
        <v>485</v>
      </c>
      <c r="W90" s="283" t="s">
        <v>485</v>
      </c>
      <c r="X90" s="283" t="s">
        <v>485</v>
      </c>
    </row>
    <row r="91" spans="1:24" ht="36" customHeight="1" x14ac:dyDescent="0.2">
      <c r="A91" s="207" t="s">
        <v>644</v>
      </c>
      <c r="B91" s="35" t="s">
        <v>645</v>
      </c>
      <c r="C91" s="171"/>
      <c r="D91" s="171"/>
      <c r="E91" s="17"/>
      <c r="F91" s="17"/>
      <c r="G91" s="79"/>
      <c r="H91" s="69"/>
      <c r="I91" s="208"/>
      <c r="J91" s="17"/>
      <c r="K91" s="17"/>
      <c r="L91" s="79"/>
      <c r="M91" s="69"/>
      <c r="N91" s="208"/>
      <c r="O91" s="17"/>
      <c r="P91" s="17"/>
      <c r="Q91" s="79"/>
      <c r="R91" s="69"/>
      <c r="S91" s="208"/>
      <c r="T91" s="17"/>
      <c r="U91" s="17"/>
      <c r="V91" s="79">
        <f>U91-T91</f>
        <v>0</v>
      </c>
      <c r="W91" s="69" t="str">
        <f>IFERROR(V91/ABS(T91), "-")</f>
        <v>-</v>
      </c>
      <c r="X91" s="208"/>
    </row>
    <row r="92" spans="1:24" x14ac:dyDescent="0.2">
      <c r="A92" s="228"/>
      <c r="B92" s="176"/>
      <c r="C92" s="177"/>
      <c r="D92" s="177"/>
      <c r="E92" s="178"/>
      <c r="F92" s="178"/>
      <c r="G92" s="179"/>
      <c r="H92" s="180"/>
      <c r="I92" s="180"/>
      <c r="J92" s="178"/>
      <c r="K92" s="178"/>
      <c r="L92" s="179"/>
      <c r="M92" s="180"/>
      <c r="N92" s="180"/>
      <c r="O92" s="178"/>
      <c r="P92" s="178"/>
      <c r="Q92" s="179"/>
      <c r="R92" s="180"/>
      <c r="S92" s="180"/>
      <c r="T92" s="178"/>
      <c r="U92" s="178"/>
      <c r="V92" s="179"/>
      <c r="W92" s="180"/>
      <c r="X92" s="180"/>
    </row>
    <row r="93" spans="1:24" x14ac:dyDescent="0.2">
      <c r="A93" s="29" t="s">
        <v>271</v>
      </c>
      <c r="B93" s="176"/>
      <c r="C93" s="177"/>
      <c r="D93" s="177"/>
      <c r="E93" s="178"/>
      <c r="F93" s="178"/>
      <c r="G93" s="179"/>
      <c r="H93" s="180"/>
      <c r="I93" s="180"/>
      <c r="J93" s="178"/>
      <c r="K93" s="178"/>
      <c r="L93" s="179"/>
      <c r="M93" s="180"/>
      <c r="N93" s="180"/>
      <c r="O93" s="178"/>
      <c r="P93" s="178"/>
      <c r="Q93" s="179"/>
      <c r="R93" s="180"/>
      <c r="S93" s="180"/>
      <c r="T93" s="178"/>
      <c r="U93" s="178"/>
      <c r="V93" s="179"/>
      <c r="W93" s="180"/>
      <c r="X93" s="180"/>
    </row>
    <row r="94" spans="1:24" s="12" customFormat="1" x14ac:dyDescent="0.2">
      <c r="A94" s="802" t="s">
        <v>646</v>
      </c>
      <c r="B94" s="802"/>
      <c r="C94" s="802"/>
      <c r="D94" s="802"/>
      <c r="E94" s="802"/>
      <c r="F94" s="802"/>
      <c r="G94" s="802"/>
      <c r="H94" s="802"/>
      <c r="I94" s="802"/>
      <c r="J94" s="229"/>
      <c r="K94" s="229"/>
      <c r="L94" s="229"/>
      <c r="M94" s="229"/>
      <c r="N94" s="229"/>
      <c r="O94" s="229"/>
      <c r="P94" s="229"/>
      <c r="Q94" s="229"/>
      <c r="R94" s="229"/>
      <c r="S94" s="229"/>
      <c r="T94" s="229"/>
      <c r="U94" s="229"/>
      <c r="V94" s="229"/>
      <c r="W94" s="229"/>
      <c r="X94" s="229"/>
    </row>
    <row r="95" spans="1:24" s="12" customFormat="1" ht="18.75" customHeight="1" x14ac:dyDescent="0.2">
      <c r="A95" s="802" t="s">
        <v>647</v>
      </c>
      <c r="B95" s="802"/>
      <c r="C95" s="802"/>
      <c r="D95" s="802"/>
      <c r="E95" s="802"/>
      <c r="F95" s="802"/>
      <c r="G95" s="802"/>
      <c r="H95" s="802"/>
      <c r="I95" s="802"/>
      <c r="J95" s="229"/>
      <c r="K95" s="229"/>
      <c r="L95" s="229"/>
      <c r="M95" s="229"/>
      <c r="N95" s="229"/>
      <c r="O95" s="229"/>
      <c r="P95" s="229"/>
      <c r="Q95" s="229"/>
      <c r="R95" s="229"/>
      <c r="S95" s="229"/>
      <c r="T95" s="229"/>
      <c r="U95" s="229"/>
      <c r="V95" s="229"/>
      <c r="W95" s="229"/>
      <c r="X95" s="229"/>
    </row>
    <row r="96" spans="1:24" s="12" customFormat="1" ht="18" customHeight="1" x14ac:dyDescent="0.2">
      <c r="A96" s="802" t="s">
        <v>648</v>
      </c>
      <c r="B96" s="802"/>
      <c r="C96" s="802"/>
      <c r="D96" s="802"/>
      <c r="E96" s="802"/>
      <c r="F96" s="802"/>
      <c r="G96" s="802"/>
      <c r="H96" s="802"/>
      <c r="I96" s="802"/>
      <c r="J96" s="229"/>
      <c r="K96" s="229"/>
      <c r="L96" s="229"/>
      <c r="M96" s="229"/>
      <c r="N96" s="229"/>
      <c r="O96" s="229"/>
      <c r="P96" s="229"/>
      <c r="Q96" s="229"/>
      <c r="R96" s="229"/>
      <c r="S96" s="229"/>
      <c r="T96" s="229"/>
      <c r="U96" s="229"/>
      <c r="V96" s="229"/>
      <c r="W96" s="229"/>
      <c r="X96" s="229"/>
    </row>
    <row r="97" spans="1:24" s="12" customFormat="1" x14ac:dyDescent="0.2">
      <c r="A97" s="802" t="s">
        <v>649</v>
      </c>
      <c r="B97" s="802"/>
      <c r="C97" s="802"/>
      <c r="D97" s="802"/>
      <c r="E97" s="802"/>
      <c r="F97" s="802"/>
      <c r="G97" s="802"/>
      <c r="H97" s="802"/>
      <c r="I97" s="802"/>
      <c r="J97" s="229"/>
      <c r="K97" s="229"/>
      <c r="L97" s="229"/>
      <c r="M97" s="229"/>
      <c r="N97" s="229"/>
      <c r="O97" s="229"/>
      <c r="P97" s="229"/>
      <c r="Q97" s="229"/>
      <c r="R97" s="229"/>
      <c r="S97" s="229"/>
      <c r="T97" s="229"/>
      <c r="U97" s="229"/>
      <c r="V97" s="229"/>
      <c r="W97" s="229"/>
      <c r="X97" s="229"/>
    </row>
    <row r="98" spans="1:24" s="12" customFormat="1" ht="18" customHeight="1" x14ac:dyDescent="0.2">
      <c r="A98" s="802" t="s">
        <v>650</v>
      </c>
      <c r="B98" s="802"/>
      <c r="C98" s="802"/>
      <c r="D98" s="802"/>
      <c r="E98" s="802"/>
      <c r="F98" s="802"/>
      <c r="G98" s="802"/>
      <c r="H98" s="802"/>
      <c r="I98" s="802"/>
      <c r="J98" s="229"/>
      <c r="K98" s="229"/>
      <c r="L98" s="229"/>
      <c r="M98" s="229"/>
      <c r="N98" s="229"/>
      <c r="O98" s="229"/>
      <c r="P98" s="229"/>
      <c r="Q98" s="229"/>
      <c r="R98" s="229"/>
      <c r="S98" s="229"/>
      <c r="T98" s="229"/>
      <c r="U98" s="229"/>
      <c r="V98" s="229"/>
      <c r="W98" s="229"/>
      <c r="X98" s="229"/>
    </row>
    <row r="99" spans="1:24" s="12" customFormat="1" x14ac:dyDescent="0.2">
      <c r="A99" s="802" t="s">
        <v>651</v>
      </c>
      <c r="B99" s="802"/>
      <c r="C99" s="802"/>
      <c r="D99" s="802"/>
      <c r="E99" s="802"/>
      <c r="F99" s="802"/>
      <c r="G99" s="802"/>
      <c r="H99" s="802"/>
      <c r="I99" s="802"/>
      <c r="J99" s="229"/>
      <c r="K99" s="229"/>
      <c r="L99" s="229"/>
      <c r="M99" s="229"/>
      <c r="N99" s="229"/>
      <c r="O99" s="229"/>
      <c r="P99" s="229"/>
      <c r="Q99" s="229"/>
      <c r="R99" s="229"/>
      <c r="S99" s="229"/>
      <c r="T99" s="229"/>
      <c r="U99" s="229"/>
      <c r="V99" s="229"/>
      <c r="W99" s="229"/>
      <c r="X99" s="229"/>
    </row>
    <row r="100" spans="1:24" s="12" customFormat="1" x14ac:dyDescent="0.2">
      <c r="A100" s="802" t="s">
        <v>652</v>
      </c>
      <c r="B100" s="802"/>
      <c r="C100" s="802"/>
      <c r="D100" s="802"/>
      <c r="E100" s="802"/>
      <c r="F100" s="802"/>
      <c r="G100" s="802"/>
      <c r="H100" s="802"/>
      <c r="I100" s="802"/>
      <c r="J100" s="229"/>
      <c r="K100" s="229"/>
      <c r="L100" s="229"/>
      <c r="M100" s="229"/>
      <c r="N100" s="229"/>
      <c r="O100" s="229"/>
      <c r="P100" s="229"/>
      <c r="Q100" s="229"/>
      <c r="R100" s="229"/>
      <c r="S100" s="229"/>
      <c r="T100" s="229"/>
      <c r="U100" s="229"/>
      <c r="V100" s="229"/>
      <c r="W100" s="229"/>
      <c r="X100" s="229"/>
    </row>
    <row r="101" spans="1:24" s="12" customFormat="1" x14ac:dyDescent="0.2">
      <c r="A101" s="803" t="s">
        <v>653</v>
      </c>
      <c r="B101" s="803"/>
      <c r="C101" s="803"/>
      <c r="D101" s="803"/>
      <c r="E101" s="803"/>
      <c r="F101" s="803"/>
      <c r="G101" s="803"/>
      <c r="H101" s="803"/>
      <c r="I101" s="803"/>
      <c r="J101" s="229"/>
      <c r="K101" s="229"/>
      <c r="L101" s="229"/>
      <c r="M101" s="229"/>
      <c r="N101" s="229"/>
      <c r="O101" s="229"/>
      <c r="P101" s="229"/>
      <c r="Q101" s="229"/>
      <c r="R101" s="229"/>
      <c r="S101" s="229"/>
      <c r="T101" s="229"/>
      <c r="U101" s="229"/>
      <c r="V101" s="229"/>
      <c r="W101" s="229"/>
      <c r="X101" s="229"/>
    </row>
    <row r="102" spans="1:24" s="12" customFormat="1" x14ac:dyDescent="0.2">
      <c r="A102" s="802" t="s">
        <v>654</v>
      </c>
      <c r="B102" s="802"/>
      <c r="C102" s="802"/>
      <c r="D102" s="802"/>
      <c r="E102" s="802"/>
      <c r="F102" s="802"/>
      <c r="G102" s="802"/>
      <c r="H102" s="802"/>
      <c r="I102" s="802"/>
      <c r="J102" s="229"/>
      <c r="K102" s="229"/>
      <c r="L102" s="229"/>
      <c r="M102" s="229"/>
      <c r="N102" s="229"/>
      <c r="O102" s="229"/>
      <c r="P102" s="229"/>
      <c r="Q102" s="229"/>
      <c r="R102" s="229"/>
      <c r="S102" s="229"/>
      <c r="T102" s="229"/>
      <c r="U102" s="229"/>
      <c r="V102" s="229"/>
      <c r="W102" s="229"/>
      <c r="X102" s="229"/>
    </row>
    <row r="103" spans="1:24" s="12" customFormat="1" x14ac:dyDescent="0.2">
      <c r="A103" s="802" t="s">
        <v>655</v>
      </c>
      <c r="B103" s="802"/>
      <c r="C103" s="802"/>
      <c r="D103" s="802"/>
      <c r="E103" s="802"/>
      <c r="F103" s="802"/>
      <c r="G103" s="802"/>
      <c r="H103" s="802"/>
      <c r="I103" s="802"/>
      <c r="J103" s="229"/>
      <c r="K103" s="229"/>
      <c r="L103" s="229"/>
      <c r="M103" s="229"/>
      <c r="N103" s="229"/>
      <c r="O103" s="229"/>
      <c r="P103" s="229"/>
      <c r="Q103" s="229"/>
      <c r="R103" s="229"/>
      <c r="S103" s="229"/>
      <c r="T103" s="229"/>
      <c r="U103" s="229"/>
      <c r="V103" s="229"/>
      <c r="W103" s="229"/>
      <c r="X103" s="229"/>
    </row>
    <row r="104" spans="1:24" s="12" customFormat="1" x14ac:dyDescent="0.2">
      <c r="A104" s="802" t="s">
        <v>656</v>
      </c>
      <c r="B104" s="802"/>
      <c r="C104" s="802"/>
      <c r="D104" s="802"/>
      <c r="E104" s="802"/>
      <c r="F104" s="802"/>
      <c r="G104" s="802"/>
      <c r="H104" s="802"/>
      <c r="I104" s="802"/>
      <c r="J104" s="229"/>
      <c r="K104" s="229"/>
      <c r="L104" s="229"/>
      <c r="M104" s="229"/>
      <c r="N104" s="229"/>
      <c r="O104" s="229"/>
      <c r="P104" s="229"/>
      <c r="Q104" s="229"/>
      <c r="R104" s="229"/>
      <c r="S104" s="229"/>
      <c r="T104" s="229"/>
      <c r="U104" s="229"/>
      <c r="V104" s="229"/>
      <c r="W104" s="229"/>
      <c r="X104" s="229"/>
    </row>
    <row r="105" spans="1:24" x14ac:dyDescent="0.2">
      <c r="A105" s="701" t="s">
        <v>657</v>
      </c>
      <c r="B105" s="701"/>
      <c r="C105" s="701"/>
      <c r="D105" s="701"/>
      <c r="E105" s="701"/>
      <c r="F105" s="701"/>
      <c r="G105" s="701"/>
      <c r="H105" s="701"/>
      <c r="I105" s="701"/>
      <c r="J105" s="31"/>
      <c r="K105" s="31"/>
      <c r="L105" s="31"/>
      <c r="M105" s="42"/>
      <c r="N105" s="42"/>
      <c r="O105" s="31"/>
      <c r="P105" s="31"/>
      <c r="Q105" s="31"/>
      <c r="R105" s="42"/>
      <c r="S105" s="42"/>
      <c r="T105" s="31"/>
      <c r="U105" s="31"/>
      <c r="V105" s="31"/>
      <c r="W105" s="42"/>
      <c r="X105" s="42"/>
    </row>
  </sheetData>
  <sheetProtection formatColumns="0" formatRows="0"/>
  <mergeCells count="12">
    <mergeCell ref="A105:I105"/>
    <mergeCell ref="A99:I99"/>
    <mergeCell ref="A94:I94"/>
    <mergeCell ref="A95:I95"/>
    <mergeCell ref="A96:I96"/>
    <mergeCell ref="A97:I97"/>
    <mergeCell ref="A98:I98"/>
    <mergeCell ref="A104:I104"/>
    <mergeCell ref="A100:I100"/>
    <mergeCell ref="A101:I101"/>
    <mergeCell ref="A102:I102"/>
    <mergeCell ref="A103:I103"/>
  </mergeCells>
  <pageMargins left="0.23622047244094491" right="0.23622047244094491" top="0.74803149606299213" bottom="0.74803149606299213" header="0.31496062992125984" footer="0.31496062992125984"/>
  <pageSetup paperSize="9" scale="85" fitToHeight="0" orientation="landscape" r:id="rId1"/>
  <headerFooter>
    <oddHeader xml:space="preserve">&amp;C&amp;"Times New Roman,Bold"&amp;14Naturālie rādītāji&amp;R&amp;"Times New Roman,Regular"&amp;14 5.pielikums
</oddHeader>
    <oddFooter>&amp;C&amp;"Times New Roman,Regular"&amp;12&amp;F &amp;A&amp;R&amp;"Times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pageSetUpPr fitToPage="1"/>
  </sheetPr>
  <dimension ref="A1:X58"/>
  <sheetViews>
    <sheetView view="pageBreakPreview" zoomScaleNormal="100" zoomScaleSheetLayoutView="100" workbookViewId="0">
      <pane ySplit="1" topLeftCell="A28" activePane="bottomLeft" state="frozen"/>
      <selection pane="bottomLeft" activeCell="Y28" sqref="Y28"/>
    </sheetView>
  </sheetViews>
  <sheetFormatPr defaultColWidth="7.7109375" defaultRowHeight="15.75" outlineLevelCol="1" x14ac:dyDescent="0.25"/>
  <cols>
    <col min="1" max="1" width="14.28515625" style="230" customWidth="1"/>
    <col min="2" max="2" width="34.42578125" style="230" customWidth="1"/>
    <col min="3" max="3" width="16.28515625" style="230" customWidth="1"/>
    <col min="4" max="4" width="14.85546875" style="230" hidden="1" customWidth="1"/>
    <col min="5" max="5" width="15.85546875" style="230" hidden="1" customWidth="1"/>
    <col min="6" max="6" width="15.85546875" style="230" hidden="1" customWidth="1" outlineLevel="1"/>
    <col min="7" max="7" width="19.42578125" style="230" hidden="1" customWidth="1" outlineLevel="1"/>
    <col min="8" max="8" width="17.85546875" style="230" hidden="1" customWidth="1" outlineLevel="1"/>
    <col min="9" max="9" width="34.42578125" style="230" hidden="1" customWidth="1" outlineLevel="1"/>
    <col min="10" max="10" width="15.5703125" style="230" hidden="1" customWidth="1" collapsed="1"/>
    <col min="11" max="11" width="17.28515625" style="459" hidden="1" customWidth="1" outlineLevel="1"/>
    <col min="12" max="12" width="18.28515625" style="230" hidden="1" customWidth="1" outlineLevel="1"/>
    <col min="13" max="13" width="18.5703125" style="230" hidden="1" customWidth="1" outlineLevel="1"/>
    <col min="14" max="14" width="34.42578125" style="230" hidden="1" customWidth="1" outlineLevel="1"/>
    <col min="15" max="15" width="20.28515625" style="230" hidden="1" customWidth="1" collapsed="1"/>
    <col min="16" max="16" width="17.42578125" style="230" hidden="1" customWidth="1" outlineLevel="1"/>
    <col min="17" max="17" width="18" style="230" hidden="1" customWidth="1" outlineLevel="1"/>
    <col min="18" max="18" width="17.42578125" style="230" hidden="1" customWidth="1" outlineLevel="1"/>
    <col min="19" max="19" width="34.42578125" style="230" hidden="1" customWidth="1" outlineLevel="1"/>
    <col min="20" max="20" width="17.5703125" style="230" customWidth="1" collapsed="1"/>
    <col min="21" max="21" width="17.28515625" style="230" customWidth="1" outlineLevel="1"/>
    <col min="22" max="22" width="18.5703125" style="230" customWidth="1" outlineLevel="1"/>
    <col min="23" max="23" width="17.28515625" style="230" customWidth="1" outlineLevel="1"/>
    <col min="24" max="24" width="34.42578125" style="230" customWidth="1" outlineLevel="1"/>
    <col min="25" max="25" width="34.42578125" style="230" customWidth="1"/>
    <col min="26" max="229" width="9.140625" style="230" customWidth="1"/>
    <col min="230" max="230" width="3.140625" style="230" customWidth="1"/>
    <col min="231" max="231" width="4.42578125" style="230" customWidth="1"/>
    <col min="232" max="232" width="26" style="230" customWidth="1"/>
    <col min="233" max="233" width="8.7109375" style="230" customWidth="1"/>
    <col min="234" max="235" width="7.7109375" style="230"/>
    <col min="236" max="236" width="8.7109375" style="230" customWidth="1"/>
    <col min="237" max="238" width="7.7109375" style="230"/>
    <col min="239" max="239" width="8.7109375" style="230" customWidth="1"/>
    <col min="240" max="16384" width="7.7109375" style="230"/>
  </cols>
  <sheetData>
    <row r="1" spans="1:24" ht="78.75" x14ac:dyDescent="0.25">
      <c r="A1" s="76" t="s">
        <v>0</v>
      </c>
      <c r="B1" s="162" t="s">
        <v>278</v>
      </c>
      <c r="C1" s="23" t="s">
        <v>2</v>
      </c>
      <c r="D1" s="23" t="s">
        <v>3</v>
      </c>
      <c r="E1" s="23" t="s">
        <v>4</v>
      </c>
      <c r="F1" s="23" t="s">
        <v>5</v>
      </c>
      <c r="G1" s="24" t="s">
        <v>6</v>
      </c>
      <c r="H1" s="25" t="s">
        <v>7</v>
      </c>
      <c r="I1" s="23" t="s">
        <v>8</v>
      </c>
      <c r="J1" s="23" t="s">
        <v>9</v>
      </c>
      <c r="K1" s="455" t="s">
        <v>10</v>
      </c>
      <c r="L1" s="24" t="s">
        <v>6</v>
      </c>
      <c r="M1" s="25" t="s">
        <v>7</v>
      </c>
      <c r="N1" s="23" t="s">
        <v>8</v>
      </c>
      <c r="O1" s="23" t="s">
        <v>280</v>
      </c>
      <c r="P1" s="23" t="s">
        <v>281</v>
      </c>
      <c r="Q1" s="24" t="s">
        <v>6</v>
      </c>
      <c r="R1" s="25" t="s">
        <v>7</v>
      </c>
      <c r="S1" s="23" t="s">
        <v>8</v>
      </c>
      <c r="T1" s="23" t="s">
        <v>11</v>
      </c>
      <c r="U1" s="23" t="s">
        <v>282</v>
      </c>
      <c r="V1" s="24" t="s">
        <v>6</v>
      </c>
      <c r="W1" s="25" t="s">
        <v>7</v>
      </c>
      <c r="X1" s="23" t="s">
        <v>8</v>
      </c>
    </row>
    <row r="2" spans="1:24" x14ac:dyDescent="0.25">
      <c r="A2" s="76">
        <v>1</v>
      </c>
      <c r="B2" s="162">
        <v>2</v>
      </c>
      <c r="C2" s="23">
        <v>3</v>
      </c>
      <c r="D2" s="23">
        <v>4</v>
      </c>
      <c r="E2" s="23">
        <v>5</v>
      </c>
      <c r="F2" s="23">
        <v>6</v>
      </c>
      <c r="G2" s="24">
        <v>7</v>
      </c>
      <c r="H2" s="26">
        <v>8</v>
      </c>
      <c r="I2" s="23"/>
      <c r="J2" s="23">
        <v>10</v>
      </c>
      <c r="K2" s="455">
        <v>11</v>
      </c>
      <c r="L2" s="24">
        <v>12</v>
      </c>
      <c r="M2" s="26">
        <v>13</v>
      </c>
      <c r="N2" s="23"/>
      <c r="O2" s="23">
        <v>15</v>
      </c>
      <c r="P2" s="23">
        <v>16</v>
      </c>
      <c r="Q2" s="24">
        <v>17</v>
      </c>
      <c r="R2" s="26">
        <v>18</v>
      </c>
      <c r="S2" s="23"/>
      <c r="T2" s="23">
        <v>20</v>
      </c>
      <c r="U2" s="23">
        <v>21</v>
      </c>
      <c r="V2" s="24">
        <v>22</v>
      </c>
      <c r="W2" s="26">
        <v>23</v>
      </c>
      <c r="X2" s="23"/>
    </row>
    <row r="3" spans="1:24" ht="15.75" customHeight="1" x14ac:dyDescent="0.25">
      <c r="A3" s="150">
        <v>51000</v>
      </c>
      <c r="B3" s="145" t="s">
        <v>658</v>
      </c>
      <c r="C3" s="90">
        <v>36300</v>
      </c>
      <c r="D3" s="90">
        <f>D4+D5+D6+D7</f>
        <v>0</v>
      </c>
      <c r="E3" s="90">
        <f>E4+E5+E6+E7</f>
        <v>0</v>
      </c>
      <c r="F3" s="90">
        <f>F4+F5+F6+F7</f>
        <v>0</v>
      </c>
      <c r="G3" s="93">
        <f>F3-E3</f>
        <v>0</v>
      </c>
      <c r="H3" s="94" t="str">
        <f>IFERROR(G3/ABS(E3), "-")</f>
        <v>-</v>
      </c>
      <c r="I3" s="806"/>
      <c r="J3" s="90">
        <f>J4+J5+J6+J7</f>
        <v>0</v>
      </c>
      <c r="K3" s="456">
        <f>K4+K5+K6+K7</f>
        <v>0</v>
      </c>
      <c r="L3" s="93">
        <f>K3-J3</f>
        <v>0</v>
      </c>
      <c r="M3" s="94" t="str">
        <f>IFERROR(L3/ABS(J3), "-")</f>
        <v>-</v>
      </c>
      <c r="N3" s="806"/>
      <c r="O3" s="90">
        <f>O4+O5+O6+O7</f>
        <v>0</v>
      </c>
      <c r="P3" s="90">
        <f>P4+P5+P6+P7</f>
        <v>0</v>
      </c>
      <c r="Q3" s="93">
        <f>P3-O3</f>
        <v>0</v>
      </c>
      <c r="R3" s="94" t="str">
        <f>IFERROR(Q3/ABS(O3), "-")</f>
        <v>-</v>
      </c>
      <c r="S3" s="806"/>
      <c r="T3" s="90">
        <f>T4+T5+T6+T7</f>
        <v>0</v>
      </c>
      <c r="U3" s="90">
        <f>U4+U5+U6+U7</f>
        <v>314600</v>
      </c>
      <c r="V3" s="93">
        <f>U3-T3</f>
        <v>314600</v>
      </c>
      <c r="W3" s="94" t="str">
        <f>IFERROR(V3/ABS(T3), "-")</f>
        <v>-</v>
      </c>
      <c r="X3" s="760" t="s">
        <v>447</v>
      </c>
    </row>
    <row r="4" spans="1:24" x14ac:dyDescent="0.25">
      <c r="A4" s="76">
        <v>51100</v>
      </c>
      <c r="B4" s="163" t="s">
        <v>659</v>
      </c>
      <c r="C4" s="164"/>
      <c r="D4" s="164"/>
      <c r="E4" s="164"/>
      <c r="F4" s="164"/>
      <c r="G4" s="165">
        <f t="shared" ref="G4:G53" si="0">F4-E4</f>
        <v>0</v>
      </c>
      <c r="H4" s="166" t="str">
        <f t="shared" ref="H4:H53" si="1">IFERROR(G4/ABS(E4), "-")</f>
        <v>-</v>
      </c>
      <c r="I4" s="807"/>
      <c r="J4" s="164"/>
      <c r="K4" s="453"/>
      <c r="L4" s="165">
        <f t="shared" ref="L4:L53" si="2">K4-J4</f>
        <v>0</v>
      </c>
      <c r="M4" s="166" t="str">
        <f t="shared" ref="M4:M53" si="3">IFERROR(L4/ABS(J4), "-")</f>
        <v>-</v>
      </c>
      <c r="N4" s="807"/>
      <c r="O4" s="164"/>
      <c r="P4" s="164"/>
      <c r="Q4" s="165">
        <f t="shared" ref="Q4:Q53" si="4">P4-O4</f>
        <v>0</v>
      </c>
      <c r="R4" s="166" t="str">
        <f t="shared" ref="R4:R53" si="5">IFERROR(Q4/ABS(O4), "-")</f>
        <v>-</v>
      </c>
      <c r="S4" s="807"/>
      <c r="T4" s="164"/>
      <c r="U4" s="164"/>
      <c r="V4" s="165">
        <f t="shared" ref="V4:V53" si="6">U4-T4</f>
        <v>0</v>
      </c>
      <c r="W4" s="166" t="str">
        <f t="shared" ref="W4:W53" si="7">IFERROR(V4/ABS(T4), "-")</f>
        <v>-</v>
      </c>
      <c r="X4" s="761"/>
    </row>
    <row r="5" spans="1:24" x14ac:dyDescent="0.25">
      <c r="A5" s="167">
        <v>51200</v>
      </c>
      <c r="B5" s="168" t="s">
        <v>660</v>
      </c>
      <c r="C5" s="164"/>
      <c r="D5" s="164"/>
      <c r="E5" s="164"/>
      <c r="F5" s="164"/>
      <c r="G5" s="165">
        <f t="shared" si="0"/>
        <v>0</v>
      </c>
      <c r="H5" s="166" t="str">
        <f t="shared" si="1"/>
        <v>-</v>
      </c>
      <c r="I5" s="807"/>
      <c r="J5" s="164"/>
      <c r="K5" s="453"/>
      <c r="L5" s="165">
        <f t="shared" si="2"/>
        <v>0</v>
      </c>
      <c r="M5" s="166" t="str">
        <f t="shared" si="3"/>
        <v>-</v>
      </c>
      <c r="N5" s="807"/>
      <c r="O5" s="164"/>
      <c r="P5" s="164"/>
      <c r="Q5" s="165">
        <f t="shared" si="4"/>
        <v>0</v>
      </c>
      <c r="R5" s="166" t="str">
        <f t="shared" si="5"/>
        <v>-</v>
      </c>
      <c r="S5" s="807"/>
      <c r="T5" s="164"/>
      <c r="U5" s="164">
        <v>314600</v>
      </c>
      <c r="V5" s="165">
        <f t="shared" si="6"/>
        <v>314600</v>
      </c>
      <c r="W5" s="166" t="str">
        <f t="shared" si="7"/>
        <v>-</v>
      </c>
      <c r="X5" s="761"/>
    </row>
    <row r="6" spans="1:24" ht="47.25" customHeight="1" x14ac:dyDescent="0.25">
      <c r="A6" s="167">
        <v>51300</v>
      </c>
      <c r="B6" s="168" t="s">
        <v>661</v>
      </c>
      <c r="C6" s="164"/>
      <c r="D6" s="164"/>
      <c r="E6" s="164"/>
      <c r="F6" s="164"/>
      <c r="G6" s="165">
        <f t="shared" si="0"/>
        <v>0</v>
      </c>
      <c r="H6" s="166" t="str">
        <f t="shared" si="1"/>
        <v>-</v>
      </c>
      <c r="I6" s="807"/>
      <c r="J6" s="164"/>
      <c r="K6" s="453"/>
      <c r="L6" s="165">
        <f t="shared" si="2"/>
        <v>0</v>
      </c>
      <c r="M6" s="166" t="str">
        <f t="shared" si="3"/>
        <v>-</v>
      </c>
      <c r="N6" s="807"/>
      <c r="O6" s="164"/>
      <c r="P6" s="164"/>
      <c r="Q6" s="165">
        <f t="shared" si="4"/>
        <v>0</v>
      </c>
      <c r="R6" s="166" t="str">
        <f t="shared" si="5"/>
        <v>-</v>
      </c>
      <c r="S6" s="807"/>
      <c r="T6" s="164"/>
      <c r="U6" s="164"/>
      <c r="V6" s="165">
        <f t="shared" si="6"/>
        <v>0</v>
      </c>
      <c r="W6" s="166" t="str">
        <f t="shared" si="7"/>
        <v>-</v>
      </c>
      <c r="X6" s="761"/>
    </row>
    <row r="7" spans="1:24" x14ac:dyDescent="0.25">
      <c r="A7" s="167">
        <v>51400</v>
      </c>
      <c r="B7" s="168" t="s">
        <v>662</v>
      </c>
      <c r="C7" s="164"/>
      <c r="D7" s="164"/>
      <c r="E7" s="164"/>
      <c r="F7" s="164"/>
      <c r="G7" s="165">
        <f t="shared" si="0"/>
        <v>0</v>
      </c>
      <c r="H7" s="166" t="str">
        <f t="shared" si="1"/>
        <v>-</v>
      </c>
      <c r="I7" s="807"/>
      <c r="J7" s="164"/>
      <c r="K7" s="453"/>
      <c r="L7" s="165">
        <f t="shared" si="2"/>
        <v>0</v>
      </c>
      <c r="M7" s="166" t="str">
        <f t="shared" si="3"/>
        <v>-</v>
      </c>
      <c r="N7" s="807"/>
      <c r="O7" s="164"/>
      <c r="P7" s="164"/>
      <c r="Q7" s="165">
        <f t="shared" si="4"/>
        <v>0</v>
      </c>
      <c r="R7" s="166" t="str">
        <f t="shared" si="5"/>
        <v>-</v>
      </c>
      <c r="S7" s="807"/>
      <c r="T7" s="164"/>
      <c r="U7" s="164"/>
      <c r="V7" s="165">
        <f t="shared" si="6"/>
        <v>0</v>
      </c>
      <c r="W7" s="166" t="str">
        <f t="shared" si="7"/>
        <v>-</v>
      </c>
      <c r="X7" s="761"/>
    </row>
    <row r="8" spans="1:24" ht="15.75" customHeight="1" x14ac:dyDescent="0.25">
      <c r="A8" s="150">
        <v>52000</v>
      </c>
      <c r="B8" s="145" t="s">
        <v>663</v>
      </c>
      <c r="C8" s="90">
        <v>28000</v>
      </c>
      <c r="D8" s="90">
        <f ca="1">SUM(OFFSET(D16,-1,0):OFFSET(D8,1,0))</f>
        <v>0</v>
      </c>
      <c r="E8" s="90">
        <f ca="1">SUM(OFFSET(E16,-1,0):OFFSET(E8,1,0))</f>
        <v>0</v>
      </c>
      <c r="F8" s="90">
        <f ca="1">SUM(OFFSET(F16,-1,0):OFFSET(F8,1,0))</f>
        <v>0</v>
      </c>
      <c r="G8" s="93">
        <f t="shared" ca="1" si="0"/>
        <v>0</v>
      </c>
      <c r="H8" s="94" t="str">
        <f t="shared" ca="1" si="1"/>
        <v>-</v>
      </c>
      <c r="I8" s="808"/>
      <c r="J8" s="90">
        <f ca="1">SUM(OFFSET(J16,-1,0):OFFSET(J8,1,0))</f>
        <v>0</v>
      </c>
      <c r="K8" s="456">
        <f ca="1">SUM(OFFSET(K16,-1,0):OFFSET(K8,1,0))</f>
        <v>0</v>
      </c>
      <c r="L8" s="93">
        <f t="shared" ca="1" si="2"/>
        <v>0</v>
      </c>
      <c r="M8" s="94" t="str">
        <f t="shared" ca="1" si="3"/>
        <v>-</v>
      </c>
      <c r="N8" s="808"/>
      <c r="O8" s="90">
        <f ca="1">SUM(OFFSET(O16,-1,0):OFFSET(O8,1,0))</f>
        <v>0</v>
      </c>
      <c r="P8" s="90">
        <f ca="1">SUM(OFFSET(P16,-1,0):OFFSET(P8,1,0))</f>
        <v>0</v>
      </c>
      <c r="Q8" s="93">
        <f t="shared" ca="1" si="4"/>
        <v>0</v>
      </c>
      <c r="R8" s="94" t="str">
        <f t="shared" ca="1" si="5"/>
        <v>-</v>
      </c>
      <c r="S8" s="808"/>
      <c r="T8" s="90">
        <f ca="1">SUM(OFFSET(T16,-1,0):OFFSET(T8,1,0))</f>
        <v>0</v>
      </c>
      <c r="U8" s="90">
        <f ca="1">SUM(OFFSET(U16,-1,0):OFFSET(U8,1,0))</f>
        <v>0</v>
      </c>
      <c r="V8" s="93">
        <f t="shared" ca="1" si="6"/>
        <v>0</v>
      </c>
      <c r="W8" s="94" t="str">
        <f t="shared" ca="1" si="7"/>
        <v>-</v>
      </c>
      <c r="X8" s="761"/>
    </row>
    <row r="9" spans="1:24" x14ac:dyDescent="0.25">
      <c r="A9" s="169">
        <v>52100</v>
      </c>
      <c r="B9" s="170" t="s">
        <v>664</v>
      </c>
      <c r="C9" s="171"/>
      <c r="D9" s="171"/>
      <c r="E9" s="78"/>
      <c r="F9" s="78"/>
      <c r="G9" s="79">
        <f t="shared" si="0"/>
        <v>0</v>
      </c>
      <c r="H9" s="27" t="str">
        <f t="shared" si="1"/>
        <v>-</v>
      </c>
      <c r="I9" s="809"/>
      <c r="J9" s="78"/>
      <c r="K9" s="457">
        <f>F9</f>
        <v>0</v>
      </c>
      <c r="L9" s="79">
        <f t="shared" si="2"/>
        <v>0</v>
      </c>
      <c r="M9" s="27" t="str">
        <f t="shared" si="3"/>
        <v>-</v>
      </c>
      <c r="N9" s="809"/>
      <c r="O9" s="78"/>
      <c r="P9" s="78"/>
      <c r="Q9" s="79">
        <f t="shared" si="4"/>
        <v>0</v>
      </c>
      <c r="R9" s="27" t="str">
        <f t="shared" si="5"/>
        <v>-</v>
      </c>
      <c r="S9" s="809"/>
      <c r="T9" s="78"/>
      <c r="U9" s="78"/>
      <c r="V9" s="79">
        <f t="shared" si="6"/>
        <v>0</v>
      </c>
      <c r="W9" s="27" t="str">
        <f t="shared" si="7"/>
        <v>-</v>
      </c>
      <c r="X9" s="769"/>
    </row>
    <row r="10" spans="1:24" x14ac:dyDescent="0.25">
      <c r="A10" s="169">
        <v>52200</v>
      </c>
      <c r="B10" s="170" t="s">
        <v>665</v>
      </c>
      <c r="C10" s="171"/>
      <c r="D10" s="171"/>
      <c r="E10" s="78"/>
      <c r="F10" s="78"/>
      <c r="G10" s="79">
        <f t="shared" si="0"/>
        <v>0</v>
      </c>
      <c r="H10" s="27" t="str">
        <f t="shared" si="1"/>
        <v>-</v>
      </c>
      <c r="I10" s="809"/>
      <c r="J10" s="78"/>
      <c r="K10" s="457">
        <f>F10</f>
        <v>0</v>
      </c>
      <c r="L10" s="79">
        <f t="shared" si="2"/>
        <v>0</v>
      </c>
      <c r="M10" s="27" t="str">
        <f t="shared" si="3"/>
        <v>-</v>
      </c>
      <c r="N10" s="809"/>
      <c r="O10" s="78"/>
      <c r="P10" s="78"/>
      <c r="Q10" s="79">
        <f t="shared" si="4"/>
        <v>0</v>
      </c>
      <c r="R10" s="27" t="str">
        <f t="shared" si="5"/>
        <v>-</v>
      </c>
      <c r="S10" s="809"/>
      <c r="T10" s="78"/>
      <c r="U10" s="78"/>
      <c r="V10" s="79">
        <f t="shared" si="6"/>
        <v>0</v>
      </c>
      <c r="W10" s="27" t="str">
        <f t="shared" si="7"/>
        <v>-</v>
      </c>
      <c r="X10" s="578"/>
    </row>
    <row r="11" spans="1:24" x14ac:dyDescent="0.25">
      <c r="A11" s="169">
        <v>52300</v>
      </c>
      <c r="B11" s="170" t="s">
        <v>666</v>
      </c>
      <c r="C11" s="171"/>
      <c r="D11" s="171"/>
      <c r="E11" s="78"/>
      <c r="F11" s="78"/>
      <c r="G11" s="79">
        <f t="shared" si="0"/>
        <v>0</v>
      </c>
      <c r="H11" s="27" t="str">
        <f t="shared" si="1"/>
        <v>-</v>
      </c>
      <c r="I11" s="809"/>
      <c r="J11" s="78"/>
      <c r="K11" s="457"/>
      <c r="L11" s="79">
        <f t="shared" si="2"/>
        <v>0</v>
      </c>
      <c r="M11" s="27" t="str">
        <f t="shared" si="3"/>
        <v>-</v>
      </c>
      <c r="N11" s="809"/>
      <c r="O11" s="78"/>
      <c r="P11" s="78"/>
      <c r="Q11" s="79">
        <f t="shared" si="4"/>
        <v>0</v>
      </c>
      <c r="R11" s="27" t="str">
        <f t="shared" si="5"/>
        <v>-</v>
      </c>
      <c r="S11" s="809"/>
      <c r="T11" s="78"/>
      <c r="U11" s="78"/>
      <c r="V11" s="79">
        <f t="shared" si="6"/>
        <v>0</v>
      </c>
      <c r="W11" s="27" t="str">
        <f t="shared" si="7"/>
        <v>-</v>
      </c>
      <c r="X11" s="578"/>
    </row>
    <row r="12" spans="1:24" x14ac:dyDescent="0.25">
      <c r="A12" s="169">
        <v>52400</v>
      </c>
      <c r="B12" s="170" t="s">
        <v>667</v>
      </c>
      <c r="C12" s="171"/>
      <c r="D12" s="171"/>
      <c r="E12" s="78"/>
      <c r="F12" s="78"/>
      <c r="G12" s="79">
        <f t="shared" si="0"/>
        <v>0</v>
      </c>
      <c r="H12" s="27" t="str">
        <f t="shared" si="1"/>
        <v>-</v>
      </c>
      <c r="I12" s="809"/>
      <c r="J12" s="78"/>
      <c r="K12" s="457"/>
      <c r="L12" s="79">
        <f t="shared" si="2"/>
        <v>0</v>
      </c>
      <c r="M12" s="27" t="str">
        <f t="shared" si="3"/>
        <v>-</v>
      </c>
      <c r="N12" s="809"/>
      <c r="O12" s="78"/>
      <c r="P12" s="78"/>
      <c r="Q12" s="79">
        <f t="shared" si="4"/>
        <v>0</v>
      </c>
      <c r="R12" s="27" t="str">
        <f t="shared" si="5"/>
        <v>-</v>
      </c>
      <c r="S12" s="809"/>
      <c r="T12" s="78"/>
      <c r="U12" s="78"/>
      <c r="V12" s="79">
        <f t="shared" si="6"/>
        <v>0</v>
      </c>
      <c r="W12" s="27" t="str">
        <f t="shared" si="7"/>
        <v>-</v>
      </c>
      <c r="X12" s="578"/>
    </row>
    <row r="13" spans="1:24" x14ac:dyDescent="0.25">
      <c r="A13" s="169">
        <v>52500</v>
      </c>
      <c r="B13" s="170" t="s">
        <v>668</v>
      </c>
      <c r="C13" s="171"/>
      <c r="D13" s="171"/>
      <c r="E13" s="78"/>
      <c r="F13" s="78"/>
      <c r="G13" s="79">
        <f t="shared" si="0"/>
        <v>0</v>
      </c>
      <c r="H13" s="27" t="str">
        <f t="shared" si="1"/>
        <v>-</v>
      </c>
      <c r="I13" s="809"/>
      <c r="J13" s="78"/>
      <c r="K13" s="457"/>
      <c r="L13" s="79">
        <f t="shared" si="2"/>
        <v>0</v>
      </c>
      <c r="M13" s="27" t="str">
        <f t="shared" si="3"/>
        <v>-</v>
      </c>
      <c r="N13" s="809"/>
      <c r="O13" s="78"/>
      <c r="P13" s="78"/>
      <c r="Q13" s="79">
        <f t="shared" si="4"/>
        <v>0</v>
      </c>
      <c r="R13" s="27" t="str">
        <f t="shared" si="5"/>
        <v>-</v>
      </c>
      <c r="S13" s="809"/>
      <c r="T13" s="78"/>
      <c r="U13" s="78"/>
      <c r="V13" s="79">
        <f t="shared" si="6"/>
        <v>0</v>
      </c>
      <c r="W13" s="27" t="str">
        <f t="shared" si="7"/>
        <v>-</v>
      </c>
      <c r="X13" s="578"/>
    </row>
    <row r="14" spans="1:24" x14ac:dyDescent="0.25">
      <c r="A14" s="169">
        <v>52600</v>
      </c>
      <c r="B14" s="170" t="s">
        <v>669</v>
      </c>
      <c r="C14" s="171"/>
      <c r="D14" s="171"/>
      <c r="E14" s="78"/>
      <c r="F14" s="78"/>
      <c r="G14" s="79">
        <f t="shared" si="0"/>
        <v>0</v>
      </c>
      <c r="H14" s="27" t="str">
        <f t="shared" si="1"/>
        <v>-</v>
      </c>
      <c r="I14" s="809"/>
      <c r="J14" s="78"/>
      <c r="K14" s="457"/>
      <c r="L14" s="79">
        <f t="shared" si="2"/>
        <v>0</v>
      </c>
      <c r="M14" s="27" t="str">
        <f t="shared" si="3"/>
        <v>-</v>
      </c>
      <c r="N14" s="809"/>
      <c r="O14" s="78"/>
      <c r="P14" s="78"/>
      <c r="Q14" s="79">
        <f t="shared" si="4"/>
        <v>0</v>
      </c>
      <c r="R14" s="27" t="str">
        <f t="shared" si="5"/>
        <v>-</v>
      </c>
      <c r="S14" s="809"/>
      <c r="T14" s="78"/>
      <c r="U14" s="78"/>
      <c r="V14" s="79">
        <f t="shared" si="6"/>
        <v>0</v>
      </c>
      <c r="W14" s="27" t="str">
        <f t="shared" si="7"/>
        <v>-</v>
      </c>
      <c r="X14" s="578"/>
    </row>
    <row r="15" spans="1:24" x14ac:dyDescent="0.25">
      <c r="A15" s="172">
        <v>52700</v>
      </c>
      <c r="B15" s="173" t="s">
        <v>670</v>
      </c>
      <c r="C15" s="171"/>
      <c r="D15" s="171"/>
      <c r="E15" s="78"/>
      <c r="F15" s="78"/>
      <c r="G15" s="79">
        <f t="shared" si="0"/>
        <v>0</v>
      </c>
      <c r="H15" s="27" t="str">
        <f t="shared" si="1"/>
        <v>-</v>
      </c>
      <c r="I15" s="810"/>
      <c r="J15" s="78"/>
      <c r="K15" s="457"/>
      <c r="L15" s="79">
        <f t="shared" si="2"/>
        <v>0</v>
      </c>
      <c r="M15" s="27" t="str">
        <f t="shared" si="3"/>
        <v>-</v>
      </c>
      <c r="N15" s="810"/>
      <c r="O15" s="78"/>
      <c r="P15" s="78"/>
      <c r="Q15" s="79">
        <f t="shared" si="4"/>
        <v>0</v>
      </c>
      <c r="R15" s="27" t="str">
        <f t="shared" si="5"/>
        <v>-</v>
      </c>
      <c r="S15" s="810"/>
      <c r="T15" s="78"/>
      <c r="U15" s="78"/>
      <c r="V15" s="79">
        <f t="shared" si="6"/>
        <v>0</v>
      </c>
      <c r="W15" s="27" t="str">
        <f t="shared" si="7"/>
        <v>-</v>
      </c>
      <c r="X15" s="579"/>
    </row>
    <row r="16" spans="1:24" ht="15.75" customHeight="1" x14ac:dyDescent="0.25">
      <c r="A16" s="150">
        <v>53000</v>
      </c>
      <c r="B16" s="145" t="s">
        <v>671</v>
      </c>
      <c r="C16" s="90">
        <v>474917</v>
      </c>
      <c r="D16" s="90">
        <f>D17+D40+D41+D47+D51+D52</f>
        <v>827634.03</v>
      </c>
      <c r="E16" s="90">
        <f>E17+E40+E41+E47+E51+E52</f>
        <v>0</v>
      </c>
      <c r="F16" s="90">
        <f>F17+F40+F41+F47+F51+F52</f>
        <v>118153</v>
      </c>
      <c r="G16" s="93">
        <f t="shared" si="0"/>
        <v>118153</v>
      </c>
      <c r="H16" s="94" t="str">
        <f t="shared" si="1"/>
        <v>-</v>
      </c>
      <c r="I16" s="804" t="s">
        <v>672</v>
      </c>
      <c r="J16" s="90">
        <f>J17+J40+J41+J47+J51+J52</f>
        <v>0</v>
      </c>
      <c r="K16" s="456">
        <f>K17+K40+K41+K47+K51+K52</f>
        <v>306939</v>
      </c>
      <c r="L16" s="93">
        <f t="shared" si="2"/>
        <v>306939</v>
      </c>
      <c r="M16" s="94" t="str">
        <f t="shared" si="3"/>
        <v>-</v>
      </c>
      <c r="N16" s="804" t="s">
        <v>673</v>
      </c>
      <c r="O16" s="90">
        <f>O17+O40+O41+O47+O51+O52</f>
        <v>0</v>
      </c>
      <c r="P16" s="90">
        <f>P17+P40+P41+P47+P51+P52</f>
        <v>392251.94</v>
      </c>
      <c r="Q16" s="93">
        <f t="shared" si="4"/>
        <v>392251.94</v>
      </c>
      <c r="R16" s="94" t="str">
        <f t="shared" si="5"/>
        <v>-</v>
      </c>
      <c r="S16" s="804" t="s">
        <v>674</v>
      </c>
      <c r="T16" s="90">
        <v>827634.03</v>
      </c>
      <c r="U16" s="90">
        <f>U17+U40+U41+U47+U51+U52</f>
        <v>1593750.94</v>
      </c>
      <c r="V16" s="93">
        <f t="shared" si="6"/>
        <v>766116.90999999992</v>
      </c>
      <c r="W16" s="94">
        <f t="shared" si="7"/>
        <v>0.92567110852123846</v>
      </c>
      <c r="X16" s="804" t="s">
        <v>449</v>
      </c>
    </row>
    <row r="17" spans="1:24" x14ac:dyDescent="0.25">
      <c r="A17" s="174">
        <v>53100</v>
      </c>
      <c r="B17" s="175" t="s">
        <v>675</v>
      </c>
      <c r="C17" s="164"/>
      <c r="D17" s="164">
        <f>D18</f>
        <v>554370</v>
      </c>
      <c r="E17" s="164"/>
      <c r="F17" s="164">
        <f>F18+F37</f>
        <v>118153</v>
      </c>
      <c r="G17" s="165">
        <f t="shared" si="0"/>
        <v>118153</v>
      </c>
      <c r="H17" s="166" t="str">
        <f t="shared" si="1"/>
        <v>-</v>
      </c>
      <c r="I17" s="805"/>
      <c r="J17" s="164"/>
      <c r="K17" s="454">
        <f>K18+K37</f>
        <v>221400</v>
      </c>
      <c r="L17" s="165">
        <f t="shared" si="2"/>
        <v>221400</v>
      </c>
      <c r="M17" s="166" t="str">
        <f t="shared" si="3"/>
        <v>-</v>
      </c>
      <c r="N17" s="805"/>
      <c r="O17" s="164"/>
      <c r="P17" s="454">
        <f>P18+P37</f>
        <v>257433.23</v>
      </c>
      <c r="Q17" s="165">
        <f t="shared" si="4"/>
        <v>257433.23</v>
      </c>
      <c r="R17" s="166" t="str">
        <f t="shared" si="5"/>
        <v>-</v>
      </c>
      <c r="S17" s="805"/>
      <c r="T17" s="164">
        <v>554370</v>
      </c>
      <c r="U17" s="417">
        <f>U18+U37</f>
        <v>1458932.23</v>
      </c>
      <c r="V17" s="165">
        <f t="shared" si="6"/>
        <v>904562.23</v>
      </c>
      <c r="W17" s="166">
        <f t="shared" si="7"/>
        <v>1.631694049100781</v>
      </c>
      <c r="X17" s="805"/>
    </row>
    <row r="18" spans="1:24" x14ac:dyDescent="0.25">
      <c r="A18" s="169">
        <v>53110</v>
      </c>
      <c r="B18" s="170" t="s">
        <v>676</v>
      </c>
      <c r="C18" s="164"/>
      <c r="D18" s="164">
        <v>554370</v>
      </c>
      <c r="E18" s="164"/>
      <c r="F18" s="164">
        <f>F19+F20+F21+F22+F23+F24</f>
        <v>118153</v>
      </c>
      <c r="G18" s="165">
        <f t="shared" si="0"/>
        <v>118153</v>
      </c>
      <c r="H18" s="166" t="str">
        <f t="shared" si="1"/>
        <v>-</v>
      </c>
      <c r="I18" s="805"/>
      <c r="J18" s="164"/>
      <c r="K18" s="453">
        <f>K19+K20+K21+K22+K23+K24+K27+K25</f>
        <v>126860</v>
      </c>
      <c r="L18" s="165">
        <f t="shared" si="2"/>
        <v>126860</v>
      </c>
      <c r="M18" s="166" t="str">
        <f t="shared" si="3"/>
        <v>-</v>
      </c>
      <c r="N18" s="805"/>
      <c r="O18" s="164"/>
      <c r="P18" s="453">
        <f>P19+P20+P21+P22+P23+P24+P25+P26+P27+P28</f>
        <v>156395.23000000001</v>
      </c>
      <c r="Q18" s="165">
        <f t="shared" si="4"/>
        <v>156395.23000000001</v>
      </c>
      <c r="R18" s="166" t="str">
        <f t="shared" si="5"/>
        <v>-</v>
      </c>
      <c r="S18" s="805"/>
      <c r="T18" s="164">
        <v>554370</v>
      </c>
      <c r="U18" s="453">
        <f>U19+U20+U21+U22+U23+U24+U25+U26+U27+U28+U29+U30+U31</f>
        <v>1357894.23</v>
      </c>
      <c r="V18" s="165">
        <f t="shared" si="6"/>
        <v>803524.23</v>
      </c>
      <c r="W18" s="166">
        <f t="shared" si="7"/>
        <v>1.4494367119432869</v>
      </c>
      <c r="X18" s="805"/>
    </row>
    <row r="19" spans="1:24" x14ac:dyDescent="0.25">
      <c r="A19" s="169"/>
      <c r="B19" s="428" t="s">
        <v>677</v>
      </c>
      <c r="C19" s="164"/>
      <c r="D19" s="164"/>
      <c r="E19" s="164"/>
      <c r="F19" s="164">
        <v>34667</v>
      </c>
      <c r="G19" s="165"/>
      <c r="H19" s="166"/>
      <c r="I19" s="805"/>
      <c r="J19" s="164"/>
      <c r="K19" s="453">
        <v>34667</v>
      </c>
      <c r="L19" s="165"/>
      <c r="M19" s="166"/>
      <c r="N19" s="805"/>
      <c r="O19" s="164"/>
      <c r="P19" s="164">
        <v>34667</v>
      </c>
      <c r="Q19" s="165"/>
      <c r="R19" s="166"/>
      <c r="S19" s="805"/>
      <c r="T19" s="164"/>
      <c r="U19" s="164">
        <v>34667</v>
      </c>
      <c r="V19" s="165"/>
      <c r="W19" s="166"/>
      <c r="X19" s="805"/>
    </row>
    <row r="20" spans="1:24" x14ac:dyDescent="0.25">
      <c r="A20" s="169"/>
      <c r="B20" s="428" t="s">
        <v>678</v>
      </c>
      <c r="C20" s="164"/>
      <c r="D20" s="164"/>
      <c r="E20" s="164"/>
      <c r="F20" s="164">
        <v>36300</v>
      </c>
      <c r="G20" s="165"/>
      <c r="H20" s="166"/>
      <c r="I20" s="805"/>
      <c r="J20" s="164"/>
      <c r="K20" s="453">
        <v>36300</v>
      </c>
      <c r="L20" s="165"/>
      <c r="M20" s="166"/>
      <c r="N20" s="805"/>
      <c r="O20" s="164"/>
      <c r="P20" s="164">
        <f>36300+1314</f>
        <v>37614</v>
      </c>
      <c r="Q20" s="165"/>
      <c r="R20" s="166"/>
      <c r="S20" s="805"/>
      <c r="T20" s="164"/>
      <c r="U20" s="164">
        <f>36300+1314</f>
        <v>37614</v>
      </c>
      <c r="V20" s="165"/>
      <c r="W20" s="166"/>
      <c r="X20" s="805"/>
    </row>
    <row r="21" spans="1:24" ht="29.25" customHeight="1" x14ac:dyDescent="0.25">
      <c r="A21" s="169"/>
      <c r="B21" s="429" t="s">
        <v>679</v>
      </c>
      <c r="C21" s="164"/>
      <c r="D21" s="164"/>
      <c r="E21" s="164"/>
      <c r="F21" s="164">
        <v>7623</v>
      </c>
      <c r="G21" s="165"/>
      <c r="H21" s="166"/>
      <c r="I21" s="805"/>
      <c r="J21" s="164"/>
      <c r="K21" s="453">
        <v>7623</v>
      </c>
      <c r="L21" s="165"/>
      <c r="M21" s="166"/>
      <c r="N21" s="805"/>
      <c r="O21" s="164"/>
      <c r="P21" s="164">
        <v>7623</v>
      </c>
      <c r="Q21" s="165"/>
      <c r="R21" s="166"/>
      <c r="S21" s="805"/>
      <c r="T21" s="164"/>
      <c r="U21" s="164">
        <v>7623</v>
      </c>
      <c r="V21" s="165"/>
      <c r="W21" s="166"/>
      <c r="X21" s="805"/>
    </row>
    <row r="22" spans="1:24" x14ac:dyDescent="0.25">
      <c r="A22" s="169"/>
      <c r="B22" s="428" t="s">
        <v>680</v>
      </c>
      <c r="C22" s="164"/>
      <c r="D22" s="164"/>
      <c r="E22" s="164"/>
      <c r="F22" s="164">
        <v>10337</v>
      </c>
      <c r="G22" s="165"/>
      <c r="H22" s="166"/>
      <c r="I22" s="805"/>
      <c r="J22" s="164"/>
      <c r="K22" s="453">
        <v>10337</v>
      </c>
      <c r="L22" s="165"/>
      <c r="M22" s="166"/>
      <c r="N22" s="805"/>
      <c r="O22" s="164"/>
      <c r="P22" s="164">
        <f>10337+1352</f>
        <v>11689</v>
      </c>
      <c r="Q22" s="165"/>
      <c r="R22" s="166"/>
      <c r="S22" s="805"/>
      <c r="T22" s="164"/>
      <c r="U22" s="164">
        <f>10337+1352</f>
        <v>11689</v>
      </c>
      <c r="V22" s="165"/>
      <c r="W22" s="166"/>
      <c r="X22" s="805"/>
    </row>
    <row r="23" spans="1:24" x14ac:dyDescent="0.25">
      <c r="A23" s="169"/>
      <c r="B23" s="429" t="s">
        <v>681</v>
      </c>
      <c r="C23" s="164"/>
      <c r="D23" s="164"/>
      <c r="E23" s="164"/>
      <c r="F23" s="164">
        <v>27528</v>
      </c>
      <c r="G23" s="165"/>
      <c r="H23" s="166"/>
      <c r="I23" s="805"/>
      <c r="J23" s="164"/>
      <c r="K23" s="453">
        <v>27528</v>
      </c>
      <c r="L23" s="165"/>
      <c r="M23" s="166"/>
      <c r="N23" s="805"/>
      <c r="O23" s="164"/>
      <c r="P23" s="164">
        <v>27528</v>
      </c>
      <c r="Q23" s="165"/>
      <c r="R23" s="166"/>
      <c r="S23" s="805"/>
      <c r="T23" s="164"/>
      <c r="U23" s="164">
        <v>27528</v>
      </c>
      <c r="V23" s="165"/>
      <c r="W23" s="166"/>
      <c r="X23" s="805"/>
    </row>
    <row r="24" spans="1:24" x14ac:dyDescent="0.25">
      <c r="A24" s="169"/>
      <c r="B24" s="428" t="s">
        <v>682</v>
      </c>
      <c r="C24" s="164"/>
      <c r="D24" s="164"/>
      <c r="E24" s="164"/>
      <c r="F24" s="164">
        <v>1698</v>
      </c>
      <c r="G24" s="165"/>
      <c r="H24" s="166"/>
      <c r="I24" s="805"/>
      <c r="J24" s="164"/>
      <c r="K24" s="453">
        <f>1698+3141</f>
        <v>4839</v>
      </c>
      <c r="L24" s="165"/>
      <c r="M24" s="166"/>
      <c r="N24" s="805"/>
      <c r="O24" s="164"/>
      <c r="P24" s="164">
        <v>4839</v>
      </c>
      <c r="Q24" s="165"/>
      <c r="R24" s="166"/>
      <c r="S24" s="805"/>
      <c r="T24" s="164"/>
      <c r="U24" s="164">
        <v>4839</v>
      </c>
      <c r="V24" s="165"/>
      <c r="W24" s="166"/>
      <c r="X24" s="805"/>
    </row>
    <row r="25" spans="1:24" x14ac:dyDescent="0.25">
      <c r="A25" s="169"/>
      <c r="B25" s="428" t="s">
        <v>683</v>
      </c>
      <c r="C25" s="164"/>
      <c r="D25" s="164"/>
      <c r="E25" s="164"/>
      <c r="F25" s="164"/>
      <c r="G25" s="165"/>
      <c r="H25" s="166"/>
      <c r="I25" s="805"/>
      <c r="J25" s="164"/>
      <c r="K25" s="453">
        <v>5566</v>
      </c>
      <c r="L25" s="165"/>
      <c r="M25" s="166"/>
      <c r="N25" s="805"/>
      <c r="O25" s="164"/>
      <c r="P25" s="164">
        <f>5566+1440</f>
        <v>7006</v>
      </c>
      <c r="Q25" s="165"/>
      <c r="R25" s="166"/>
      <c r="S25" s="805"/>
      <c r="T25" s="164"/>
      <c r="U25" s="164">
        <f>5566+1440</f>
        <v>7006</v>
      </c>
      <c r="V25" s="165"/>
      <c r="W25" s="166"/>
      <c r="X25" s="805"/>
    </row>
    <row r="26" spans="1:24" ht="29.25" customHeight="1" x14ac:dyDescent="0.25">
      <c r="A26" s="169"/>
      <c r="B26" s="429" t="s">
        <v>684</v>
      </c>
      <c r="C26" s="164"/>
      <c r="D26" s="164"/>
      <c r="E26" s="164"/>
      <c r="F26" s="164"/>
      <c r="G26" s="165"/>
      <c r="H26" s="166"/>
      <c r="I26" s="805"/>
      <c r="J26" s="164"/>
      <c r="K26" s="453"/>
      <c r="L26" s="165"/>
      <c r="M26" s="166"/>
      <c r="N26" s="805"/>
      <c r="O26" s="164"/>
      <c r="P26" s="164">
        <v>2178</v>
      </c>
      <c r="Q26" s="165"/>
      <c r="R26" s="166"/>
      <c r="S26" s="805"/>
      <c r="T26" s="164"/>
      <c r="U26" s="164">
        <v>2178</v>
      </c>
      <c r="V26" s="165"/>
      <c r="W26" s="166"/>
      <c r="X26" s="805"/>
    </row>
    <row r="27" spans="1:24" x14ac:dyDescent="0.25">
      <c r="A27" s="169"/>
      <c r="B27" s="429" t="s">
        <v>685</v>
      </c>
      <c r="C27" s="164"/>
      <c r="D27" s="164"/>
      <c r="E27" s="164"/>
      <c r="F27" s="164"/>
      <c r="G27" s="165"/>
      <c r="H27" s="166"/>
      <c r="I27" s="805"/>
      <c r="J27" s="164"/>
      <c r="K27" s="453"/>
      <c r="L27" s="165"/>
      <c r="M27" s="166"/>
      <c r="N27" s="805"/>
      <c r="O27" s="164"/>
      <c r="P27" s="164">
        <v>3411</v>
      </c>
      <c r="Q27" s="165"/>
      <c r="R27" s="166"/>
      <c r="S27" s="805"/>
      <c r="T27" s="164"/>
      <c r="U27" s="164">
        <v>3411</v>
      </c>
      <c r="V27" s="165"/>
      <c r="W27" s="166"/>
      <c r="X27" s="805"/>
    </row>
    <row r="28" spans="1:24" ht="47.25" x14ac:dyDescent="0.25">
      <c r="A28" s="169"/>
      <c r="B28" s="429" t="s">
        <v>686</v>
      </c>
      <c r="C28" s="164"/>
      <c r="D28" s="164"/>
      <c r="E28" s="164"/>
      <c r="F28" s="164"/>
      <c r="G28" s="165"/>
      <c r="H28" s="166"/>
      <c r="I28" s="805"/>
      <c r="J28" s="164"/>
      <c r="K28" s="453"/>
      <c r="L28" s="165"/>
      <c r="M28" s="166"/>
      <c r="N28" s="805"/>
      <c r="O28" s="164"/>
      <c r="P28" s="164">
        <v>19840.23</v>
      </c>
      <c r="Q28" s="165"/>
      <c r="R28" s="166"/>
      <c r="S28" s="805"/>
      <c r="T28" s="164"/>
      <c r="U28" s="164">
        <v>19840.23</v>
      </c>
      <c r="V28" s="165"/>
      <c r="W28" s="166"/>
      <c r="X28" s="805"/>
    </row>
    <row r="29" spans="1:24" ht="31.5" x14ac:dyDescent="0.25">
      <c r="A29" s="169"/>
      <c r="B29" s="429" t="s">
        <v>687</v>
      </c>
      <c r="C29" s="164"/>
      <c r="D29" s="164"/>
      <c r="E29" s="164"/>
      <c r="F29" s="164"/>
      <c r="G29" s="165"/>
      <c r="H29" s="166"/>
      <c r="I29" s="805"/>
      <c r="J29" s="164"/>
      <c r="K29" s="453"/>
      <c r="L29" s="165"/>
      <c r="M29" s="166"/>
      <c r="N29" s="805"/>
      <c r="O29" s="164"/>
      <c r="P29" s="164"/>
      <c r="Q29" s="165"/>
      <c r="R29" s="166"/>
      <c r="S29" s="805"/>
      <c r="T29" s="164"/>
      <c r="U29" s="164">
        <v>978609</v>
      </c>
      <c r="V29" s="165"/>
      <c r="W29" s="166"/>
      <c r="X29" s="805"/>
    </row>
    <row r="30" spans="1:24" ht="31.5" x14ac:dyDescent="0.25">
      <c r="A30" s="169"/>
      <c r="B30" s="429" t="s">
        <v>688</v>
      </c>
      <c r="C30" s="164"/>
      <c r="D30" s="164"/>
      <c r="E30" s="164"/>
      <c r="F30" s="164"/>
      <c r="G30" s="165"/>
      <c r="H30" s="166"/>
      <c r="I30" s="805"/>
      <c r="J30" s="164"/>
      <c r="K30" s="453"/>
      <c r="L30" s="165"/>
      <c r="M30" s="166"/>
      <c r="N30" s="805"/>
      <c r="O30" s="164"/>
      <c r="P30" s="164"/>
      <c r="Q30" s="165"/>
      <c r="R30" s="166"/>
      <c r="S30" s="805"/>
      <c r="T30" s="164"/>
      <c r="U30" s="164">
        <v>26166</v>
      </c>
      <c r="V30" s="165"/>
      <c r="W30" s="166"/>
      <c r="X30" s="805"/>
    </row>
    <row r="31" spans="1:24" ht="47.25" x14ac:dyDescent="0.25">
      <c r="A31" s="169"/>
      <c r="B31" s="429" t="s">
        <v>689</v>
      </c>
      <c r="C31" s="164"/>
      <c r="D31" s="164"/>
      <c r="E31" s="164"/>
      <c r="F31" s="164"/>
      <c r="G31" s="165"/>
      <c r="H31" s="166"/>
      <c r="I31" s="805"/>
      <c r="J31" s="164"/>
      <c r="K31" s="453"/>
      <c r="L31" s="165"/>
      <c r="M31" s="166"/>
      <c r="N31" s="805"/>
      <c r="O31" s="164"/>
      <c r="P31" s="164"/>
      <c r="Q31" s="165"/>
      <c r="R31" s="166"/>
      <c r="S31" s="805"/>
      <c r="T31" s="164"/>
      <c r="U31" s="164">
        <f>376993-180269</f>
        <v>196724</v>
      </c>
      <c r="V31" s="165"/>
      <c r="W31" s="166"/>
      <c r="X31" s="805"/>
    </row>
    <row r="32" spans="1:24" hidden="1" x14ac:dyDescent="0.25">
      <c r="A32" s="169"/>
      <c r="B32" s="429"/>
      <c r="C32" s="164"/>
      <c r="D32" s="164"/>
      <c r="E32" s="164"/>
      <c r="F32" s="164"/>
      <c r="G32" s="165"/>
      <c r="H32" s="166"/>
      <c r="I32" s="805"/>
      <c r="J32" s="164"/>
      <c r="K32" s="453"/>
      <c r="L32" s="165"/>
      <c r="M32" s="166"/>
      <c r="N32" s="805"/>
      <c r="O32" s="164"/>
      <c r="P32" s="164"/>
      <c r="Q32" s="165"/>
      <c r="R32" s="166"/>
      <c r="S32" s="805"/>
      <c r="T32" s="164"/>
      <c r="U32" s="164"/>
      <c r="V32" s="165"/>
      <c r="W32" s="166"/>
      <c r="X32" s="805"/>
    </row>
    <row r="33" spans="1:24" hidden="1" x14ac:dyDescent="0.25">
      <c r="A33" s="169"/>
      <c r="B33" s="429"/>
      <c r="C33" s="164"/>
      <c r="D33" s="164"/>
      <c r="E33" s="164"/>
      <c r="F33" s="164"/>
      <c r="G33" s="165"/>
      <c r="H33" s="166"/>
      <c r="I33" s="805"/>
      <c r="J33" s="164"/>
      <c r="K33" s="453"/>
      <c r="L33" s="165"/>
      <c r="M33" s="166"/>
      <c r="N33" s="805"/>
      <c r="O33" s="164"/>
      <c r="P33" s="164"/>
      <c r="Q33" s="165"/>
      <c r="R33" s="166"/>
      <c r="S33" s="805"/>
      <c r="T33" s="164"/>
      <c r="U33" s="164"/>
      <c r="V33" s="165"/>
      <c r="W33" s="166"/>
      <c r="X33" s="805"/>
    </row>
    <row r="34" spans="1:24" hidden="1" x14ac:dyDescent="0.25">
      <c r="A34" s="169"/>
      <c r="B34" s="429"/>
      <c r="C34" s="164"/>
      <c r="D34" s="164"/>
      <c r="E34" s="164"/>
      <c r="F34" s="164"/>
      <c r="G34" s="165"/>
      <c r="H34" s="166"/>
      <c r="I34" s="805"/>
      <c r="J34" s="164"/>
      <c r="K34" s="453"/>
      <c r="L34" s="165"/>
      <c r="M34" s="166"/>
      <c r="N34" s="805"/>
      <c r="O34" s="164"/>
      <c r="P34" s="164"/>
      <c r="Q34" s="165"/>
      <c r="R34" s="166"/>
      <c r="S34" s="805"/>
      <c r="T34" s="164"/>
      <c r="U34" s="164"/>
      <c r="V34" s="165"/>
      <c r="W34" s="166"/>
      <c r="X34" s="805"/>
    </row>
    <row r="35" spans="1:24" hidden="1" x14ac:dyDescent="0.25">
      <c r="A35" s="169"/>
      <c r="B35" s="429"/>
      <c r="C35" s="164"/>
      <c r="D35" s="164"/>
      <c r="E35" s="164"/>
      <c r="F35" s="164"/>
      <c r="G35" s="165"/>
      <c r="H35" s="166"/>
      <c r="I35" s="805"/>
      <c r="J35" s="164"/>
      <c r="K35" s="453"/>
      <c r="L35" s="165"/>
      <c r="M35" s="166"/>
      <c r="N35" s="805"/>
      <c r="O35" s="164"/>
      <c r="P35" s="164"/>
      <c r="Q35" s="165"/>
      <c r="R35" s="166"/>
      <c r="S35" s="805"/>
      <c r="T35" s="164"/>
      <c r="U35" s="164"/>
      <c r="V35" s="165"/>
      <c r="W35" s="166"/>
      <c r="X35" s="805"/>
    </row>
    <row r="36" spans="1:24" hidden="1" x14ac:dyDescent="0.25">
      <c r="A36" s="169"/>
      <c r="B36" s="429"/>
      <c r="C36" s="164"/>
      <c r="D36" s="164"/>
      <c r="E36" s="164"/>
      <c r="F36" s="164"/>
      <c r="G36" s="165"/>
      <c r="H36" s="166"/>
      <c r="I36" s="805"/>
      <c r="J36" s="164"/>
      <c r="K36" s="453"/>
      <c r="L36" s="165"/>
      <c r="M36" s="166"/>
      <c r="N36" s="805"/>
      <c r="O36" s="164"/>
      <c r="P36" s="164"/>
      <c r="Q36" s="165"/>
      <c r="R36" s="166"/>
      <c r="S36" s="805"/>
      <c r="T36" s="164"/>
      <c r="U36" s="164"/>
      <c r="V36" s="165"/>
      <c r="W36" s="166"/>
      <c r="X36" s="805"/>
    </row>
    <row r="37" spans="1:24" ht="29.25" customHeight="1" x14ac:dyDescent="0.25">
      <c r="A37" s="169">
        <v>53120</v>
      </c>
      <c r="B37" s="427" t="s">
        <v>690</v>
      </c>
      <c r="C37" s="164"/>
      <c r="D37" s="164"/>
      <c r="E37" s="164"/>
      <c r="F37" s="164"/>
      <c r="G37" s="165">
        <f t="shared" si="0"/>
        <v>0</v>
      </c>
      <c r="H37" s="166" t="str">
        <f t="shared" si="1"/>
        <v>-</v>
      </c>
      <c r="I37" s="805"/>
      <c r="J37" s="164"/>
      <c r="K37" s="453">
        <f>6761+20147+21871+8325+7734+23084+6618</f>
        <v>94540</v>
      </c>
      <c r="L37" s="165">
        <f t="shared" si="2"/>
        <v>94540</v>
      </c>
      <c r="M37" s="166" t="str">
        <f t="shared" si="3"/>
        <v>-</v>
      </c>
      <c r="N37" s="805"/>
      <c r="O37" s="164"/>
      <c r="P37" s="164">
        <f>94540+P38+P39</f>
        <v>101038</v>
      </c>
      <c r="Q37" s="165">
        <f t="shared" si="4"/>
        <v>101038</v>
      </c>
      <c r="R37" s="166" t="str">
        <f t="shared" si="5"/>
        <v>-</v>
      </c>
      <c r="S37" s="805"/>
      <c r="T37" s="164"/>
      <c r="U37" s="164">
        <f>94540+U38+U39</f>
        <v>101038</v>
      </c>
      <c r="V37" s="165">
        <f t="shared" si="6"/>
        <v>101038</v>
      </c>
      <c r="W37" s="166" t="str">
        <f t="shared" si="7"/>
        <v>-</v>
      </c>
      <c r="X37" s="805"/>
    </row>
    <row r="38" spans="1:24" x14ac:dyDescent="0.25">
      <c r="A38" s="169"/>
      <c r="B38" s="498" t="s">
        <v>691</v>
      </c>
      <c r="C38" s="164"/>
      <c r="D38" s="164"/>
      <c r="E38" s="164"/>
      <c r="F38" s="164"/>
      <c r="G38" s="165"/>
      <c r="H38" s="166"/>
      <c r="I38" s="805"/>
      <c r="J38" s="164"/>
      <c r="K38" s="453"/>
      <c r="L38" s="165"/>
      <c r="M38" s="166"/>
      <c r="N38" s="805"/>
      <c r="O38" s="164"/>
      <c r="P38" s="164">
        <v>2562</v>
      </c>
      <c r="Q38" s="165"/>
      <c r="R38" s="166"/>
      <c r="S38" s="805"/>
      <c r="T38" s="164"/>
      <c r="U38" s="164">
        <v>2562</v>
      </c>
      <c r="V38" s="165"/>
      <c r="W38" s="166"/>
      <c r="X38" s="805"/>
    </row>
    <row r="39" spans="1:24" x14ac:dyDescent="0.25">
      <c r="A39" s="169"/>
      <c r="B39" s="498" t="s">
        <v>692</v>
      </c>
      <c r="C39" s="164"/>
      <c r="D39" s="164"/>
      <c r="E39" s="164"/>
      <c r="F39" s="164"/>
      <c r="G39" s="165"/>
      <c r="H39" s="166"/>
      <c r="I39" s="805"/>
      <c r="J39" s="164"/>
      <c r="K39" s="453"/>
      <c r="L39" s="165"/>
      <c r="M39" s="166"/>
      <c r="N39" s="805"/>
      <c r="O39" s="164"/>
      <c r="P39" s="164">
        <v>3936</v>
      </c>
      <c r="Q39" s="165"/>
      <c r="R39" s="166"/>
      <c r="S39" s="805"/>
      <c r="T39" s="164"/>
      <c r="U39" s="164">
        <v>3936</v>
      </c>
      <c r="V39" s="165"/>
      <c r="W39" s="166"/>
      <c r="X39" s="805"/>
    </row>
    <row r="40" spans="1:24" x14ac:dyDescent="0.25">
      <c r="A40" s="169">
        <v>53200</v>
      </c>
      <c r="B40" s="170" t="s">
        <v>693</v>
      </c>
      <c r="C40" s="164"/>
      <c r="D40" s="164"/>
      <c r="E40" s="164"/>
      <c r="F40" s="164"/>
      <c r="G40" s="165">
        <f t="shared" si="0"/>
        <v>0</v>
      </c>
      <c r="H40" s="166" t="str">
        <f t="shared" si="1"/>
        <v>-</v>
      </c>
      <c r="I40" s="805"/>
      <c r="J40" s="164"/>
      <c r="K40" s="453"/>
      <c r="L40" s="165">
        <f t="shared" si="2"/>
        <v>0</v>
      </c>
      <c r="M40" s="166" t="str">
        <f t="shared" si="3"/>
        <v>-</v>
      </c>
      <c r="N40" s="805"/>
      <c r="O40" s="164"/>
      <c r="P40" s="164"/>
      <c r="Q40" s="165">
        <f t="shared" si="4"/>
        <v>0</v>
      </c>
      <c r="R40" s="166" t="str">
        <f t="shared" si="5"/>
        <v>-</v>
      </c>
      <c r="S40" s="805"/>
      <c r="T40" s="164"/>
      <c r="U40" s="164"/>
      <c r="V40" s="165">
        <f t="shared" si="6"/>
        <v>0</v>
      </c>
      <c r="W40" s="166" t="str">
        <f t="shared" si="7"/>
        <v>-</v>
      </c>
      <c r="X40" s="805"/>
    </row>
    <row r="41" spans="1:24" x14ac:dyDescent="0.25">
      <c r="A41" s="169">
        <v>53300</v>
      </c>
      <c r="B41" s="170" t="s">
        <v>694</v>
      </c>
      <c r="C41" s="164"/>
      <c r="D41" s="164">
        <v>125000</v>
      </c>
      <c r="E41" s="164"/>
      <c r="F41" s="164"/>
      <c r="G41" s="165">
        <f t="shared" si="0"/>
        <v>0</v>
      </c>
      <c r="H41" s="166" t="str">
        <f t="shared" si="1"/>
        <v>-</v>
      </c>
      <c r="I41" s="805"/>
      <c r="J41" s="164"/>
      <c r="K41" s="454">
        <f>K42+K46+K43</f>
        <v>39120</v>
      </c>
      <c r="L41" s="165">
        <f t="shared" si="2"/>
        <v>39120</v>
      </c>
      <c r="M41" s="166" t="str">
        <f t="shared" si="3"/>
        <v>-</v>
      </c>
      <c r="N41" s="805"/>
      <c r="O41" s="164"/>
      <c r="P41" s="454">
        <f>P42+P43+P44+P45+P46</f>
        <v>73492.709999999992</v>
      </c>
      <c r="Q41" s="165">
        <f t="shared" si="4"/>
        <v>73492.709999999992</v>
      </c>
      <c r="R41" s="166" t="str">
        <f t="shared" si="5"/>
        <v>-</v>
      </c>
      <c r="S41" s="805"/>
      <c r="T41" s="164">
        <v>125000</v>
      </c>
      <c r="U41" s="454">
        <f>U42+U43+U44+U45+U46</f>
        <v>73492.709999999992</v>
      </c>
      <c r="V41" s="165">
        <f t="shared" si="6"/>
        <v>-51507.290000000008</v>
      </c>
      <c r="W41" s="166">
        <f t="shared" si="7"/>
        <v>-0.41205832000000009</v>
      </c>
      <c r="X41" s="805"/>
    </row>
    <row r="42" spans="1:24" x14ac:dyDescent="0.25">
      <c r="A42" s="169"/>
      <c r="B42" s="170" t="s">
        <v>695</v>
      </c>
      <c r="C42" s="164"/>
      <c r="D42" s="164"/>
      <c r="E42" s="164"/>
      <c r="F42" s="164"/>
      <c r="G42" s="165"/>
      <c r="H42" s="166"/>
      <c r="I42" s="805"/>
      <c r="J42" s="164"/>
      <c r="K42" s="453">
        <v>7419</v>
      </c>
      <c r="L42" s="165"/>
      <c r="M42" s="166"/>
      <c r="N42" s="805"/>
      <c r="O42" s="164"/>
      <c r="P42" s="164">
        <v>7419</v>
      </c>
      <c r="Q42" s="165"/>
      <c r="R42" s="166"/>
      <c r="S42" s="805"/>
      <c r="T42" s="164"/>
      <c r="U42" s="164">
        <v>7419</v>
      </c>
      <c r="V42" s="165"/>
      <c r="W42" s="166"/>
      <c r="X42" s="805"/>
    </row>
    <row r="43" spans="1:24" x14ac:dyDescent="0.25">
      <c r="A43" s="169"/>
      <c r="B43" s="170" t="s">
        <v>696</v>
      </c>
      <c r="C43" s="164"/>
      <c r="D43" s="164"/>
      <c r="E43" s="164"/>
      <c r="F43" s="164"/>
      <c r="G43" s="165"/>
      <c r="H43" s="166"/>
      <c r="I43" s="805"/>
      <c r="J43" s="164"/>
      <c r="K43" s="453">
        <v>4801</v>
      </c>
      <c r="L43" s="165"/>
      <c r="M43" s="166"/>
      <c r="N43" s="805"/>
      <c r="O43" s="164"/>
      <c r="P43" s="164">
        <v>4801</v>
      </c>
      <c r="Q43" s="165"/>
      <c r="R43" s="166"/>
      <c r="S43" s="805"/>
      <c r="T43" s="164"/>
      <c r="U43" s="164">
        <v>4801</v>
      </c>
      <c r="V43" s="165"/>
      <c r="W43" s="166"/>
      <c r="X43" s="805"/>
    </row>
    <row r="44" spans="1:24" ht="31.5" x14ac:dyDescent="0.25">
      <c r="A44" s="169"/>
      <c r="B44" s="170" t="s">
        <v>697</v>
      </c>
      <c r="C44" s="164"/>
      <c r="D44" s="164"/>
      <c r="E44" s="164"/>
      <c r="F44" s="164"/>
      <c r="G44" s="165"/>
      <c r="H44" s="166"/>
      <c r="I44" s="805"/>
      <c r="J44" s="164"/>
      <c r="K44" s="453"/>
      <c r="L44" s="165"/>
      <c r="M44" s="166"/>
      <c r="N44" s="805"/>
      <c r="O44" s="164"/>
      <c r="P44" s="164">
        <v>22583.71</v>
      </c>
      <c r="Q44" s="165"/>
      <c r="R44" s="166"/>
      <c r="S44" s="805"/>
      <c r="T44" s="164"/>
      <c r="U44" s="164">
        <v>22583.71</v>
      </c>
      <c r="V44" s="165"/>
      <c r="W44" s="166"/>
      <c r="X44" s="805"/>
    </row>
    <row r="45" spans="1:24" x14ac:dyDescent="0.25">
      <c r="A45" s="169"/>
      <c r="B45" s="170" t="s">
        <v>698</v>
      </c>
      <c r="C45" s="164"/>
      <c r="D45" s="164"/>
      <c r="E45" s="164"/>
      <c r="F45" s="164"/>
      <c r="G45" s="165"/>
      <c r="H45" s="166"/>
      <c r="I45" s="805"/>
      <c r="J45" s="164"/>
      <c r="K45" s="453"/>
      <c r="L45" s="165"/>
      <c r="M45" s="166"/>
      <c r="N45" s="805"/>
      <c r="O45" s="164"/>
      <c r="P45" s="164">
        <v>2241</v>
      </c>
      <c r="Q45" s="165"/>
      <c r="R45" s="166"/>
      <c r="S45" s="805"/>
      <c r="T45" s="164"/>
      <c r="U45" s="164">
        <v>2241</v>
      </c>
      <c r="V45" s="165"/>
      <c r="W45" s="166"/>
      <c r="X45" s="805"/>
    </row>
    <row r="46" spans="1:24" x14ac:dyDescent="0.25">
      <c r="A46" s="169"/>
      <c r="B46" s="170" t="s">
        <v>699</v>
      </c>
      <c r="C46" s="164"/>
      <c r="D46" s="164"/>
      <c r="E46" s="164"/>
      <c r="F46" s="164"/>
      <c r="G46" s="165"/>
      <c r="H46" s="166"/>
      <c r="I46" s="805"/>
      <c r="J46" s="164"/>
      <c r="K46" s="453">
        <f>3540+2690+2610+2853+4171+5603+5433</f>
        <v>26900</v>
      </c>
      <c r="L46" s="165"/>
      <c r="M46" s="166"/>
      <c r="N46" s="805"/>
      <c r="O46" s="164"/>
      <c r="P46" s="164">
        <f>26900+3872+1535+3872+269</f>
        <v>36448</v>
      </c>
      <c r="Q46" s="165"/>
      <c r="R46" s="166"/>
      <c r="S46" s="805"/>
      <c r="T46" s="164"/>
      <c r="U46" s="164">
        <f>26900+3872+1535+3872+269</f>
        <v>36448</v>
      </c>
      <c r="V46" s="165"/>
      <c r="W46" s="166"/>
      <c r="X46" s="805"/>
    </row>
    <row r="47" spans="1:24" ht="29.25" customHeight="1" x14ac:dyDescent="0.25">
      <c r="A47" s="169">
        <v>53400</v>
      </c>
      <c r="B47" s="170" t="s">
        <v>700</v>
      </c>
      <c r="C47" s="164"/>
      <c r="D47" s="164">
        <v>148264.03</v>
      </c>
      <c r="E47" s="164"/>
      <c r="F47" s="164"/>
      <c r="G47" s="165">
        <f t="shared" si="0"/>
        <v>0</v>
      </c>
      <c r="H47" s="166" t="str">
        <f t="shared" si="1"/>
        <v>-</v>
      </c>
      <c r="I47" s="805"/>
      <c r="J47" s="164"/>
      <c r="K47" s="454">
        <f>4249+K48+K49-1918</f>
        <v>46419</v>
      </c>
      <c r="L47" s="165">
        <f t="shared" si="2"/>
        <v>46419</v>
      </c>
      <c r="M47" s="166" t="str">
        <f t="shared" si="3"/>
        <v>-</v>
      </c>
      <c r="N47" s="805"/>
      <c r="O47" s="164"/>
      <c r="P47" s="454">
        <f>4249+P48+P49-1918+P50</f>
        <v>61326</v>
      </c>
      <c r="Q47" s="165">
        <f t="shared" si="4"/>
        <v>61326</v>
      </c>
      <c r="R47" s="166" t="str">
        <f t="shared" si="5"/>
        <v>-</v>
      </c>
      <c r="S47" s="805"/>
      <c r="T47" s="164">
        <v>148264.03</v>
      </c>
      <c r="U47" s="454">
        <f>4249+U48+U49-1918+U50</f>
        <v>61326</v>
      </c>
      <c r="V47" s="165">
        <f t="shared" si="6"/>
        <v>-86938.03</v>
      </c>
      <c r="W47" s="166">
        <f t="shared" si="7"/>
        <v>-0.58637304004214641</v>
      </c>
      <c r="X47" s="805"/>
    </row>
    <row r="48" spans="1:24" x14ac:dyDescent="0.25">
      <c r="A48" s="169"/>
      <c r="B48" s="170" t="s">
        <v>701</v>
      </c>
      <c r="C48" s="164"/>
      <c r="D48" s="164"/>
      <c r="E48" s="164"/>
      <c r="F48" s="164"/>
      <c r="G48" s="165"/>
      <c r="H48" s="166"/>
      <c r="I48" s="805"/>
      <c r="J48" s="164"/>
      <c r="K48" s="453">
        <v>19898</v>
      </c>
      <c r="L48" s="165"/>
      <c r="M48" s="166"/>
      <c r="N48" s="805"/>
      <c r="O48" s="164"/>
      <c r="P48" s="164">
        <v>19898</v>
      </c>
      <c r="Q48" s="165"/>
      <c r="R48" s="166"/>
      <c r="S48" s="805"/>
      <c r="T48" s="164"/>
      <c r="U48" s="164">
        <v>19898</v>
      </c>
      <c r="V48" s="165"/>
      <c r="W48" s="166"/>
      <c r="X48" s="805"/>
    </row>
    <row r="49" spans="1:24" x14ac:dyDescent="0.25">
      <c r="A49" s="169"/>
      <c r="B49" s="170" t="s">
        <v>702</v>
      </c>
      <c r="C49" s="164"/>
      <c r="D49" s="164"/>
      <c r="E49" s="164"/>
      <c r="F49" s="164"/>
      <c r="G49" s="165"/>
      <c r="H49" s="166"/>
      <c r="I49" s="805"/>
      <c r="J49" s="164"/>
      <c r="K49" s="453">
        <f>4078+1918+6643+7381+1997+2173</f>
        <v>24190</v>
      </c>
      <c r="L49" s="165"/>
      <c r="M49" s="166"/>
      <c r="N49" s="805"/>
      <c r="O49" s="164"/>
      <c r="P49" s="164">
        <f>24190+5287</f>
        <v>29477</v>
      </c>
      <c r="Q49" s="165"/>
      <c r="R49" s="166"/>
      <c r="S49" s="805"/>
      <c r="T49" s="164"/>
      <c r="U49" s="164">
        <f>24190+5287</f>
        <v>29477</v>
      </c>
      <c r="V49" s="165"/>
      <c r="W49" s="166"/>
      <c r="X49" s="805"/>
    </row>
    <row r="50" spans="1:24" x14ac:dyDescent="0.25">
      <c r="A50" s="169"/>
      <c r="B50" s="170" t="s">
        <v>703</v>
      </c>
      <c r="C50" s="164"/>
      <c r="D50" s="164"/>
      <c r="E50" s="164"/>
      <c r="F50" s="164"/>
      <c r="G50" s="165"/>
      <c r="H50" s="166"/>
      <c r="I50" s="805"/>
      <c r="J50" s="164"/>
      <c r="K50" s="453"/>
      <c r="L50" s="165"/>
      <c r="M50" s="166"/>
      <c r="N50" s="805"/>
      <c r="O50" s="164"/>
      <c r="P50" s="164">
        <v>9620</v>
      </c>
      <c r="Q50" s="165"/>
      <c r="R50" s="166"/>
      <c r="S50" s="805"/>
      <c r="T50" s="164"/>
      <c r="U50" s="164">
        <v>9620</v>
      </c>
      <c r="V50" s="165"/>
      <c r="W50" s="166"/>
      <c r="X50" s="805"/>
    </row>
    <row r="51" spans="1:24" ht="31.5" customHeight="1" x14ac:dyDescent="0.25">
      <c r="A51" s="169">
        <v>53500</v>
      </c>
      <c r="B51" s="170" t="s">
        <v>704</v>
      </c>
      <c r="C51" s="164"/>
      <c r="D51" s="164"/>
      <c r="E51" s="164"/>
      <c r="F51" s="164"/>
      <c r="G51" s="165">
        <f t="shared" si="0"/>
        <v>0</v>
      </c>
      <c r="H51" s="166" t="str">
        <f t="shared" si="1"/>
        <v>-</v>
      </c>
      <c r="I51" s="805"/>
      <c r="J51" s="164"/>
      <c r="K51" s="453"/>
      <c r="L51" s="165">
        <f t="shared" si="2"/>
        <v>0</v>
      </c>
      <c r="M51" s="166" t="str">
        <f t="shared" si="3"/>
        <v>-</v>
      </c>
      <c r="N51" s="805"/>
      <c r="O51" s="164"/>
      <c r="P51" s="164"/>
      <c r="Q51" s="165">
        <f t="shared" si="4"/>
        <v>0</v>
      </c>
      <c r="R51" s="166" t="str">
        <f t="shared" si="5"/>
        <v>-</v>
      </c>
      <c r="S51" s="805"/>
      <c r="T51" s="164"/>
      <c r="U51" s="164"/>
      <c r="V51" s="165">
        <f t="shared" si="6"/>
        <v>0</v>
      </c>
      <c r="W51" s="166" t="str">
        <f t="shared" si="7"/>
        <v>-</v>
      </c>
      <c r="X51" s="805"/>
    </row>
    <row r="52" spans="1:24" ht="31.5" customHeight="1" x14ac:dyDescent="0.25">
      <c r="A52" s="172">
        <v>53600</v>
      </c>
      <c r="B52" s="173" t="s">
        <v>705</v>
      </c>
      <c r="C52" s="164"/>
      <c r="D52" s="164"/>
      <c r="E52" s="164"/>
      <c r="F52" s="164"/>
      <c r="G52" s="165">
        <f t="shared" si="0"/>
        <v>0</v>
      </c>
      <c r="H52" s="166" t="str">
        <f t="shared" si="1"/>
        <v>-</v>
      </c>
      <c r="I52" s="805"/>
      <c r="J52" s="164"/>
      <c r="K52" s="453"/>
      <c r="L52" s="165">
        <f t="shared" si="2"/>
        <v>0</v>
      </c>
      <c r="M52" s="166" t="str">
        <f t="shared" si="3"/>
        <v>-</v>
      </c>
      <c r="N52" s="805"/>
      <c r="O52" s="164"/>
      <c r="P52" s="164"/>
      <c r="Q52" s="165">
        <f t="shared" si="4"/>
        <v>0</v>
      </c>
      <c r="R52" s="166" t="str">
        <f t="shared" si="5"/>
        <v>-</v>
      </c>
      <c r="S52" s="805"/>
      <c r="T52" s="164"/>
      <c r="U52" s="164"/>
      <c r="V52" s="165">
        <f t="shared" si="6"/>
        <v>0</v>
      </c>
      <c r="W52" s="166" t="str">
        <f t="shared" si="7"/>
        <v>-</v>
      </c>
      <c r="X52" s="805"/>
    </row>
    <row r="53" spans="1:24" x14ac:dyDescent="0.25">
      <c r="A53" s="150">
        <v>50000</v>
      </c>
      <c r="B53" s="145" t="s">
        <v>706</v>
      </c>
      <c r="C53" s="91">
        <f>C16+C8+C3</f>
        <v>539217</v>
      </c>
      <c r="D53" s="91">
        <f ca="1">D16+D8+D3</f>
        <v>827634.03</v>
      </c>
      <c r="E53" s="91">
        <f ca="1">E3+E16+E8</f>
        <v>0</v>
      </c>
      <c r="F53" s="91">
        <f ca="1">F3+F16+F8</f>
        <v>118153</v>
      </c>
      <c r="G53" s="92">
        <f t="shared" ca="1" si="0"/>
        <v>118153</v>
      </c>
      <c r="H53" s="28" t="str">
        <f t="shared" ca="1" si="1"/>
        <v>-</v>
      </c>
      <c r="I53" s="385"/>
      <c r="J53" s="91">
        <f ca="1">J3+J16+J8</f>
        <v>0</v>
      </c>
      <c r="K53" s="458">
        <f ca="1">K3+K16+K8</f>
        <v>306939</v>
      </c>
      <c r="L53" s="92">
        <f t="shared" ca="1" si="2"/>
        <v>306939</v>
      </c>
      <c r="M53" s="28" t="str">
        <f t="shared" ca="1" si="3"/>
        <v>-</v>
      </c>
      <c r="N53" s="385" t="s">
        <v>707</v>
      </c>
      <c r="O53" s="91">
        <f ca="1">O3+O16+O8</f>
        <v>0</v>
      </c>
      <c r="P53" s="91">
        <f ca="1">P3+P16+P8</f>
        <v>392251.94</v>
      </c>
      <c r="Q53" s="92">
        <f t="shared" ca="1" si="4"/>
        <v>392251.94</v>
      </c>
      <c r="R53" s="28" t="str">
        <f t="shared" ca="1" si="5"/>
        <v>-</v>
      </c>
      <c r="S53" s="385"/>
      <c r="T53" s="91">
        <v>827634.03</v>
      </c>
      <c r="U53" s="91">
        <f ca="1">U3+U16+U8</f>
        <v>1908350.94</v>
      </c>
      <c r="V53" s="92">
        <f t="shared" ca="1" si="6"/>
        <v>1080716.9099999999</v>
      </c>
      <c r="W53" s="28">
        <f t="shared" ca="1" si="7"/>
        <v>1.3057908094958346</v>
      </c>
      <c r="X53" s="385"/>
    </row>
    <row r="54" spans="1:24" x14ac:dyDescent="0.25">
      <c r="A54" s="231"/>
      <c r="B54" s="232"/>
      <c r="C54" s="233"/>
    </row>
    <row r="55" spans="1:24" x14ac:dyDescent="0.25">
      <c r="A55" s="29" t="s">
        <v>271</v>
      </c>
    </row>
    <row r="56" spans="1:24" ht="34.5" customHeight="1" x14ac:dyDescent="0.25">
      <c r="A56" s="792" t="s">
        <v>323</v>
      </c>
      <c r="B56" s="792"/>
      <c r="C56" s="792"/>
      <c r="D56" s="792"/>
      <c r="E56" s="792"/>
      <c r="F56" s="792"/>
      <c r="G56" s="792"/>
      <c r="H56" s="235"/>
      <c r="I56" s="235"/>
      <c r="J56" s="235"/>
    </row>
    <row r="57" spans="1:24" ht="37.5" customHeight="1" x14ac:dyDescent="0.25">
      <c r="A57" s="701" t="s">
        <v>708</v>
      </c>
      <c r="B57" s="701"/>
      <c r="C57" s="701"/>
      <c r="D57" s="701"/>
      <c r="E57" s="701"/>
    </row>
    <row r="58" spans="1:24" x14ac:dyDescent="0.25">
      <c r="A58" s="234"/>
      <c r="B58" s="234"/>
      <c r="C58" s="234"/>
      <c r="D58" s="234"/>
    </row>
  </sheetData>
  <sheetProtection formatColumns="0" formatRows="0" insertRows="0" deleteRows="0"/>
  <mergeCells count="13">
    <mergeCell ref="X16:X52"/>
    <mergeCell ref="A56:G56"/>
    <mergeCell ref="A57:E57"/>
    <mergeCell ref="I3:I7"/>
    <mergeCell ref="I8:I15"/>
    <mergeCell ref="N3:N7"/>
    <mergeCell ref="S3:S7"/>
    <mergeCell ref="N8:N15"/>
    <mergeCell ref="S8:S15"/>
    <mergeCell ref="I16:I52"/>
    <mergeCell ref="N16:N52"/>
    <mergeCell ref="S16:S52"/>
    <mergeCell ref="X3:X9"/>
  </mergeCells>
  <phoneticPr fontId="49" type="noConversion"/>
  <pageMargins left="0.23622047244094491" right="0.23622047244094491" top="0.74803149606299213" bottom="0.74803149606299213" header="0.31496062992125984" footer="0.31496062992125984"/>
  <pageSetup paperSize="9" scale="85" fitToHeight="0" orientation="landscape" r:id="rId1"/>
  <headerFooter>
    <oddHeader xml:space="preserve">&amp;C&amp;"Times New Roman,Bold"&amp;14Ieguldījumu tāme&amp;R&amp;"Times New Roman,Regular"&amp;14 6.pielikums
 </oddHeader>
    <oddFooter>&amp;C&amp;"Times New Roman,Regular"&amp;12&amp;F &amp;A&amp;R&amp;"Times New Roman,Regular"&amp;14&amp;P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C4DBF-FFBC-40C1-A4FF-7AF98AA06419}">
  <sheetPr>
    <tabColor theme="2"/>
  </sheetPr>
  <dimension ref="A1:G123"/>
  <sheetViews>
    <sheetView workbookViewId="0">
      <selection activeCell="E83" sqref="E83:F83"/>
    </sheetView>
  </sheetViews>
  <sheetFormatPr defaultColWidth="9.140625" defaultRowHeight="15.75" x14ac:dyDescent="0.2"/>
  <cols>
    <col min="1" max="1" width="8.7109375" style="409" bestFit="1" customWidth="1"/>
    <col min="2" max="2" width="43.85546875" style="392" customWidth="1"/>
    <col min="3" max="3" width="19.85546875" style="484" customWidth="1"/>
    <col min="4" max="6" width="17.5703125" style="484" customWidth="1"/>
    <col min="7" max="7" width="43.42578125" style="484" customWidth="1"/>
    <col min="8" max="16384" width="9.140625" style="392"/>
  </cols>
  <sheetData>
    <row r="1" spans="1:7" ht="47.25" x14ac:dyDescent="0.2">
      <c r="A1" s="16" t="s">
        <v>709</v>
      </c>
      <c r="B1" s="391" t="s">
        <v>278</v>
      </c>
      <c r="C1" s="460" t="s">
        <v>710</v>
      </c>
      <c r="D1" s="460" t="s">
        <v>711</v>
      </c>
      <c r="E1" s="460" t="s">
        <v>712</v>
      </c>
      <c r="F1" s="460" t="s">
        <v>713</v>
      </c>
      <c r="G1" s="461" t="s">
        <v>714</v>
      </c>
    </row>
    <row r="2" spans="1:7" ht="12" customHeight="1" x14ac:dyDescent="0.2">
      <c r="A2" s="16" t="s">
        <v>715</v>
      </c>
      <c r="B2" s="391">
        <v>2</v>
      </c>
      <c r="C2" s="460">
        <v>3</v>
      </c>
      <c r="D2" s="460">
        <v>4</v>
      </c>
      <c r="E2" s="460">
        <v>5</v>
      </c>
      <c r="F2" s="460">
        <v>6</v>
      </c>
      <c r="G2" s="461">
        <v>7</v>
      </c>
    </row>
    <row r="3" spans="1:7" s="395" customFormat="1" ht="18" customHeight="1" x14ac:dyDescent="0.2">
      <c r="A3" s="393"/>
      <c r="B3" s="394" t="s">
        <v>397</v>
      </c>
      <c r="C3" s="525">
        <f>C4+C27</f>
        <v>12868545.969999999</v>
      </c>
      <c r="D3" s="462"/>
      <c r="E3" s="462"/>
      <c r="F3" s="462"/>
      <c r="G3" s="462"/>
    </row>
    <row r="4" spans="1:7" s="395" customFormat="1" ht="18" customHeight="1" x14ac:dyDescent="0.2">
      <c r="A4" s="396" t="s">
        <v>716</v>
      </c>
      <c r="B4" s="39" t="s">
        <v>398</v>
      </c>
      <c r="C4" s="524">
        <f>C5+C9+C13+C23</f>
        <v>7091080</v>
      </c>
      <c r="D4" s="463"/>
      <c r="E4" s="464"/>
      <c r="F4" s="465"/>
      <c r="G4" s="465"/>
    </row>
    <row r="5" spans="1:7" s="395" customFormat="1" ht="18" customHeight="1" x14ac:dyDescent="0.2">
      <c r="A5" s="397" t="s">
        <v>717</v>
      </c>
      <c r="B5" s="398" t="s">
        <v>401</v>
      </c>
      <c r="C5" s="509"/>
      <c r="D5" s="466"/>
      <c r="E5" s="467"/>
      <c r="F5" s="468"/>
      <c r="G5" s="468"/>
    </row>
    <row r="6" spans="1:7" s="395" customFormat="1" ht="18" customHeight="1" x14ac:dyDescent="0.2">
      <c r="A6" s="399" t="s">
        <v>718</v>
      </c>
      <c r="B6" s="15" t="s">
        <v>719</v>
      </c>
      <c r="C6" s="508"/>
      <c r="D6" s="450"/>
      <c r="E6" s="469"/>
      <c r="F6" s="470"/>
      <c r="G6" s="470"/>
    </row>
    <row r="7" spans="1:7" s="395" customFormat="1" ht="18" customHeight="1" x14ac:dyDescent="0.2">
      <c r="A7" s="399" t="s">
        <v>720</v>
      </c>
      <c r="B7" s="15" t="s">
        <v>719</v>
      </c>
      <c r="C7" s="508"/>
      <c r="D7" s="450"/>
      <c r="E7" s="469"/>
      <c r="F7" s="470"/>
      <c r="G7" s="470"/>
    </row>
    <row r="8" spans="1:7" s="395" customFormat="1" ht="18" customHeight="1" x14ac:dyDescent="0.2">
      <c r="A8" s="399" t="s">
        <v>721</v>
      </c>
      <c r="B8" s="15" t="s">
        <v>719</v>
      </c>
      <c r="C8" s="508"/>
      <c r="D8" s="450"/>
      <c r="E8" s="469"/>
      <c r="F8" s="470"/>
      <c r="G8" s="470"/>
    </row>
    <row r="9" spans="1:7" s="395" customFormat="1" ht="18" customHeight="1" x14ac:dyDescent="0.2">
      <c r="A9" s="397" t="s">
        <v>722</v>
      </c>
      <c r="B9" s="398" t="s">
        <v>402</v>
      </c>
      <c r="C9" s="509"/>
      <c r="D9" s="466"/>
      <c r="E9" s="467"/>
      <c r="F9" s="468"/>
      <c r="G9" s="468"/>
    </row>
    <row r="10" spans="1:7" s="395" customFormat="1" ht="18" customHeight="1" x14ac:dyDescent="0.2">
      <c r="A10" s="399" t="s">
        <v>723</v>
      </c>
      <c r="B10" s="15" t="s">
        <v>719</v>
      </c>
      <c r="C10" s="508"/>
      <c r="D10" s="450"/>
      <c r="E10" s="469"/>
      <c r="F10" s="470"/>
      <c r="G10" s="470"/>
    </row>
    <row r="11" spans="1:7" s="395" customFormat="1" ht="18" customHeight="1" x14ac:dyDescent="0.2">
      <c r="A11" s="399" t="s">
        <v>724</v>
      </c>
      <c r="B11" s="15" t="s">
        <v>719</v>
      </c>
      <c r="C11" s="508"/>
      <c r="D11" s="450"/>
      <c r="E11" s="469"/>
      <c r="F11" s="470"/>
      <c r="G11" s="470"/>
    </row>
    <row r="12" spans="1:7" s="395" customFormat="1" ht="18" customHeight="1" x14ac:dyDescent="0.2">
      <c r="A12" s="399" t="s">
        <v>721</v>
      </c>
      <c r="B12" s="15" t="s">
        <v>719</v>
      </c>
      <c r="C12" s="508"/>
      <c r="D12" s="450"/>
      <c r="E12" s="469"/>
      <c r="F12" s="470"/>
      <c r="G12" s="470"/>
    </row>
    <row r="13" spans="1:7" s="395" customFormat="1" ht="18" customHeight="1" x14ac:dyDescent="0.2">
      <c r="A13" s="397" t="s">
        <v>725</v>
      </c>
      <c r="B13" s="398" t="s">
        <v>407</v>
      </c>
      <c r="C13" s="509">
        <f>C14+C15+C16+C17+C18+C19+C20+C21+C22</f>
        <v>6853855</v>
      </c>
      <c r="D13" s="466"/>
      <c r="E13" s="467"/>
      <c r="F13" s="468"/>
      <c r="G13" s="468"/>
    </row>
    <row r="14" spans="1:7" s="395" customFormat="1" ht="31.5" x14ac:dyDescent="0.25">
      <c r="A14" s="399" t="s">
        <v>726</v>
      </c>
      <c r="B14" s="430" t="s">
        <v>727</v>
      </c>
      <c r="C14" s="508">
        <f>319419-6258</f>
        <v>313161</v>
      </c>
      <c r="D14" s="450"/>
      <c r="E14" s="469"/>
      <c r="F14" s="470"/>
      <c r="G14" s="470"/>
    </row>
    <row r="15" spans="1:7" s="395" customFormat="1" ht="31.5" x14ac:dyDescent="0.25">
      <c r="A15" s="399" t="s">
        <v>728</v>
      </c>
      <c r="B15" s="431" t="s">
        <v>729</v>
      </c>
      <c r="C15" s="508">
        <f>1171949-13070</f>
        <v>1158879</v>
      </c>
      <c r="D15" s="450"/>
      <c r="E15" s="469"/>
      <c r="F15" s="470"/>
      <c r="G15" s="470"/>
    </row>
    <row r="16" spans="1:7" s="395" customFormat="1" ht="31.5" x14ac:dyDescent="0.25">
      <c r="A16" s="399" t="s">
        <v>721</v>
      </c>
      <c r="B16" s="431" t="s">
        <v>730</v>
      </c>
      <c r="C16" s="508">
        <f>2027441-2968-20071</f>
        <v>2004402</v>
      </c>
      <c r="D16" s="450"/>
      <c r="E16" s="469"/>
      <c r="F16" s="470"/>
      <c r="G16" s="470"/>
    </row>
    <row r="17" spans="1:7" s="395" customFormat="1" ht="31.5" x14ac:dyDescent="0.25">
      <c r="A17" s="399"/>
      <c r="B17" s="431" t="s">
        <v>731</v>
      </c>
      <c r="C17" s="508">
        <f>1095646-107318</f>
        <v>988328</v>
      </c>
      <c r="D17" s="450"/>
      <c r="E17" s="469"/>
      <c r="F17" s="470"/>
      <c r="G17" s="470"/>
    </row>
    <row r="18" spans="1:7" s="395" customFormat="1" ht="18" customHeight="1" x14ac:dyDescent="0.25">
      <c r="A18" s="399"/>
      <c r="B18" s="431" t="s">
        <v>732</v>
      </c>
      <c r="C18" s="508">
        <f>725226-81113</f>
        <v>644113</v>
      </c>
      <c r="D18" s="450"/>
      <c r="E18" s="469"/>
      <c r="F18" s="470"/>
      <c r="G18" s="470"/>
    </row>
    <row r="19" spans="1:7" s="395" customFormat="1" ht="18" customHeight="1" x14ac:dyDescent="0.25">
      <c r="A19" s="399"/>
      <c r="B19" s="431" t="s">
        <v>733</v>
      </c>
      <c r="C19" s="508">
        <f>46222-9244</f>
        <v>36978</v>
      </c>
      <c r="D19" s="450"/>
      <c r="E19" s="469"/>
      <c r="F19" s="470"/>
      <c r="G19" s="470"/>
    </row>
    <row r="20" spans="1:7" s="395" customFormat="1" ht="18" customHeight="1" x14ac:dyDescent="0.25">
      <c r="A20" s="399"/>
      <c r="B20" s="431" t="s">
        <v>734</v>
      </c>
      <c r="C20" s="508">
        <f>37154-8790</f>
        <v>28364</v>
      </c>
      <c r="D20" s="450"/>
      <c r="E20" s="469"/>
      <c r="F20" s="470"/>
      <c r="G20" s="470"/>
    </row>
    <row r="21" spans="1:7" s="395" customFormat="1" ht="18" customHeight="1" x14ac:dyDescent="0.25">
      <c r="A21" s="399"/>
      <c r="B21" s="431" t="s">
        <v>735</v>
      </c>
      <c r="C21" s="508">
        <f>157-119</f>
        <v>38</v>
      </c>
      <c r="D21" s="450"/>
      <c r="E21" s="469"/>
      <c r="F21" s="470"/>
      <c r="G21" s="470"/>
    </row>
    <row r="22" spans="1:7" s="395" customFormat="1" ht="36.75" customHeight="1" x14ac:dyDescent="0.25">
      <c r="A22" s="399"/>
      <c r="B22" s="431" t="s">
        <v>736</v>
      </c>
      <c r="C22" s="508">
        <f>1934195-243966-10637</f>
        <v>1679592</v>
      </c>
      <c r="D22" s="450"/>
      <c r="E22" s="469"/>
      <c r="F22" s="470"/>
      <c r="G22" s="470"/>
    </row>
    <row r="23" spans="1:7" s="395" customFormat="1" ht="18" customHeight="1" x14ac:dyDescent="0.2">
      <c r="A23" s="397" t="s">
        <v>737</v>
      </c>
      <c r="B23" s="398" t="s">
        <v>738</v>
      </c>
      <c r="C23" s="509">
        <f>C24+C25</f>
        <v>237225</v>
      </c>
      <c r="D23" s="466"/>
      <c r="E23" s="467"/>
      <c r="F23" s="468"/>
      <c r="G23" s="468"/>
    </row>
    <row r="24" spans="1:7" s="395" customFormat="1" ht="18" customHeight="1" x14ac:dyDescent="0.25">
      <c r="A24" s="400" t="s">
        <v>739</v>
      </c>
      <c r="B24" s="432" t="s">
        <v>740</v>
      </c>
      <c r="C24" s="510">
        <v>67717</v>
      </c>
      <c r="D24" s="471" t="s">
        <v>453</v>
      </c>
      <c r="E24" s="471" t="s">
        <v>453</v>
      </c>
      <c r="F24" s="471" t="s">
        <v>453</v>
      </c>
      <c r="G24" s="471" t="s">
        <v>741</v>
      </c>
    </row>
    <row r="25" spans="1:7" s="395" customFormat="1" ht="18" customHeight="1" x14ac:dyDescent="0.25">
      <c r="A25" s="400" t="s">
        <v>742</v>
      </c>
      <c r="B25" s="14" t="s">
        <v>743</v>
      </c>
      <c r="C25" s="512">
        <v>169508</v>
      </c>
      <c r="D25" s="472"/>
      <c r="E25" s="473"/>
      <c r="F25" s="434"/>
      <c r="G25" s="471" t="s">
        <v>741</v>
      </c>
    </row>
    <row r="26" spans="1:7" s="395" customFormat="1" ht="18" customHeight="1" x14ac:dyDescent="0.2">
      <c r="A26" s="400" t="s">
        <v>721</v>
      </c>
      <c r="B26" s="14" t="s">
        <v>719</v>
      </c>
      <c r="C26" s="512"/>
      <c r="D26" s="472"/>
      <c r="E26" s="473"/>
      <c r="F26" s="434"/>
      <c r="G26" s="434"/>
    </row>
    <row r="27" spans="1:7" s="395" customFormat="1" ht="18" customHeight="1" x14ac:dyDescent="0.2">
      <c r="A27" s="396" t="s">
        <v>744</v>
      </c>
      <c r="B27" s="39" t="s">
        <v>410</v>
      </c>
      <c r="C27" s="524">
        <f>C28+C32+C36+C46+C55+C62+C67+C77</f>
        <v>5777465.9699999997</v>
      </c>
      <c r="D27" s="463"/>
      <c r="E27" s="464"/>
      <c r="F27" s="465"/>
      <c r="G27" s="465"/>
    </row>
    <row r="28" spans="1:7" s="395" customFormat="1" ht="18" customHeight="1" x14ac:dyDescent="0.2">
      <c r="A28" s="397" t="s">
        <v>745</v>
      </c>
      <c r="B28" s="398" t="s">
        <v>401</v>
      </c>
      <c r="C28" s="509"/>
      <c r="D28" s="466"/>
      <c r="E28" s="467"/>
      <c r="F28" s="468"/>
      <c r="G28" s="468"/>
    </row>
    <row r="29" spans="1:7" s="395" customFormat="1" ht="18" customHeight="1" x14ac:dyDescent="0.2">
      <c r="A29" s="400" t="s">
        <v>746</v>
      </c>
      <c r="B29" s="14" t="s">
        <v>719</v>
      </c>
      <c r="C29" s="512"/>
      <c r="D29" s="472"/>
      <c r="E29" s="473"/>
      <c r="F29" s="434"/>
      <c r="G29" s="434"/>
    </row>
    <row r="30" spans="1:7" s="395" customFormat="1" ht="18" customHeight="1" x14ac:dyDescent="0.2">
      <c r="A30" s="400" t="s">
        <v>747</v>
      </c>
      <c r="B30" s="14" t="s">
        <v>719</v>
      </c>
      <c r="C30" s="512"/>
      <c r="D30" s="472"/>
      <c r="E30" s="473"/>
      <c r="F30" s="434"/>
      <c r="G30" s="434"/>
    </row>
    <row r="31" spans="1:7" s="395" customFormat="1" ht="18" customHeight="1" x14ac:dyDescent="0.2">
      <c r="A31" s="400" t="s">
        <v>721</v>
      </c>
      <c r="B31" s="14" t="s">
        <v>719</v>
      </c>
      <c r="C31" s="512"/>
      <c r="D31" s="472"/>
      <c r="E31" s="473"/>
      <c r="F31" s="434"/>
      <c r="G31" s="434"/>
    </row>
    <row r="32" spans="1:7" s="395" customFormat="1" ht="18" customHeight="1" x14ac:dyDescent="0.2">
      <c r="A32" s="397" t="s">
        <v>748</v>
      </c>
      <c r="B32" s="398" t="s">
        <v>402</v>
      </c>
      <c r="C32" s="509"/>
      <c r="D32" s="467"/>
      <c r="E32" s="467"/>
      <c r="F32" s="468"/>
      <c r="G32" s="468"/>
    </row>
    <row r="33" spans="1:7" s="395" customFormat="1" ht="18" customHeight="1" x14ac:dyDescent="0.2">
      <c r="A33" s="399" t="s">
        <v>749</v>
      </c>
      <c r="B33" s="15" t="s">
        <v>719</v>
      </c>
      <c r="C33" s="508"/>
      <c r="D33" s="469"/>
      <c r="E33" s="469"/>
      <c r="F33" s="470"/>
      <c r="G33" s="470"/>
    </row>
    <row r="34" spans="1:7" s="395" customFormat="1" ht="18" customHeight="1" x14ac:dyDescent="0.2">
      <c r="A34" s="399" t="s">
        <v>750</v>
      </c>
      <c r="B34" s="15" t="s">
        <v>719</v>
      </c>
      <c r="C34" s="508"/>
      <c r="D34" s="469"/>
      <c r="E34" s="469"/>
      <c r="F34" s="470"/>
      <c r="G34" s="470"/>
    </row>
    <row r="35" spans="1:7" s="395" customFormat="1" ht="18" customHeight="1" x14ac:dyDescent="0.2">
      <c r="A35" s="399" t="s">
        <v>721</v>
      </c>
      <c r="B35" s="15" t="s">
        <v>719</v>
      </c>
      <c r="C35" s="508"/>
      <c r="D35" s="469"/>
      <c r="E35" s="469"/>
      <c r="F35" s="470"/>
      <c r="G35" s="470"/>
    </row>
    <row r="36" spans="1:7" s="395" customFormat="1" ht="18" customHeight="1" x14ac:dyDescent="0.2">
      <c r="A36" s="397" t="s">
        <v>751</v>
      </c>
      <c r="B36" s="398" t="s">
        <v>752</v>
      </c>
      <c r="C36" s="509">
        <f>C37+C38+C39</f>
        <v>660321</v>
      </c>
      <c r="D36" s="467"/>
      <c r="E36" s="469"/>
      <c r="F36" s="468"/>
      <c r="G36" s="468"/>
    </row>
    <row r="37" spans="1:7" s="395" customFormat="1" ht="47.25" x14ac:dyDescent="0.25">
      <c r="A37" s="400" t="s">
        <v>753</v>
      </c>
      <c r="B37" s="430" t="s">
        <v>754</v>
      </c>
      <c r="C37" s="511">
        <v>22447</v>
      </c>
      <c r="D37" s="474" t="s">
        <v>453</v>
      </c>
      <c r="E37" s="474" t="s">
        <v>453</v>
      </c>
      <c r="F37" s="474" t="s">
        <v>453</v>
      </c>
      <c r="G37" s="474" t="s">
        <v>755</v>
      </c>
    </row>
    <row r="38" spans="1:7" s="395" customFormat="1" ht="18" customHeight="1" x14ac:dyDescent="0.2">
      <c r="A38" s="400" t="s">
        <v>756</v>
      </c>
      <c r="B38" s="15" t="s">
        <v>757</v>
      </c>
      <c r="C38" s="508">
        <v>1302</v>
      </c>
      <c r="D38" s="467"/>
      <c r="E38" s="469"/>
      <c r="F38" s="468"/>
      <c r="G38" s="468"/>
    </row>
    <row r="39" spans="1:7" s="395" customFormat="1" ht="18" customHeight="1" x14ac:dyDescent="0.2">
      <c r="A39" s="400" t="s">
        <v>721</v>
      </c>
      <c r="B39" s="15" t="s">
        <v>758</v>
      </c>
      <c r="C39" s="508">
        <v>636572</v>
      </c>
      <c r="D39" s="467"/>
      <c r="E39" s="469"/>
      <c r="F39" s="468"/>
      <c r="G39" s="468"/>
    </row>
    <row r="40" spans="1:7" s="395" customFormat="1" ht="18" customHeight="1" x14ac:dyDescent="0.2">
      <c r="A40" s="397"/>
      <c r="B40" s="398"/>
      <c r="C40" s="509"/>
      <c r="D40" s="467"/>
      <c r="E40" s="469"/>
      <c r="F40" s="468"/>
      <c r="G40" s="468"/>
    </row>
    <row r="41" spans="1:7" s="395" customFormat="1" ht="18" hidden="1" customHeight="1" x14ac:dyDescent="0.25">
      <c r="A41" s="418"/>
      <c r="B41" s="401"/>
      <c r="C41" s="697"/>
      <c r="D41" s="473"/>
      <c r="E41" s="473"/>
      <c r="F41" s="434"/>
      <c r="G41" s="434"/>
    </row>
    <row r="42" spans="1:7" s="395" customFormat="1" ht="18" hidden="1" customHeight="1" x14ac:dyDescent="0.25">
      <c r="A42" s="418"/>
      <c r="B42" s="401"/>
      <c r="C42" s="697"/>
      <c r="D42" s="473"/>
      <c r="E42" s="473"/>
      <c r="F42" s="434"/>
      <c r="G42" s="434"/>
    </row>
    <row r="43" spans="1:7" s="395" customFormat="1" ht="18" hidden="1" customHeight="1" x14ac:dyDescent="0.25">
      <c r="A43" s="418"/>
      <c r="B43" s="401"/>
      <c r="C43" s="697"/>
      <c r="D43" s="475"/>
      <c r="E43" s="475"/>
      <c r="F43" s="476"/>
      <c r="G43" s="476"/>
    </row>
    <row r="44" spans="1:7" s="395" customFormat="1" ht="18" hidden="1" customHeight="1" x14ac:dyDescent="0.25">
      <c r="A44" s="400"/>
      <c r="B44" s="401"/>
      <c r="C44" s="697"/>
      <c r="D44" s="475"/>
      <c r="E44" s="475"/>
      <c r="F44" s="476"/>
      <c r="G44" s="476"/>
    </row>
    <row r="45" spans="1:7" s="395" customFormat="1" ht="18" hidden="1" customHeight="1" x14ac:dyDescent="0.25">
      <c r="A45" s="693"/>
      <c r="B45" s="513"/>
      <c r="C45" s="698"/>
      <c r="D45" s="514"/>
      <c r="E45" s="514"/>
      <c r="F45" s="515"/>
      <c r="G45" s="515"/>
    </row>
    <row r="46" spans="1:7" s="395" customFormat="1" ht="42" customHeight="1" x14ac:dyDescent="0.2">
      <c r="A46" s="690" t="s">
        <v>759</v>
      </c>
      <c r="B46" s="691" t="s">
        <v>760</v>
      </c>
      <c r="C46" s="523">
        <f>C47+C48+C49+C50+C51+C52</f>
        <v>2097263.9699999997</v>
      </c>
      <c r="D46" s="517">
        <f>D47+D48+D49+D50+D51+D52</f>
        <v>1040130.79</v>
      </c>
      <c r="E46" s="517">
        <f>E47+E48+E49+E50+E51+E52</f>
        <v>659598.62</v>
      </c>
      <c r="F46" s="518">
        <f>F47+F48+F49+F50+F51+F52</f>
        <v>380531.67999999993</v>
      </c>
      <c r="G46" s="518"/>
    </row>
    <row r="47" spans="1:7" s="395" customFormat="1" ht="18" customHeight="1" x14ac:dyDescent="0.25">
      <c r="A47" s="692" t="s">
        <v>761</v>
      </c>
      <c r="B47" s="486" t="s">
        <v>762</v>
      </c>
      <c r="C47" s="696">
        <v>634156.16</v>
      </c>
      <c r="D47" s="696">
        <v>424405.08</v>
      </c>
      <c r="E47" s="696">
        <v>267973.86</v>
      </c>
      <c r="F47" s="696">
        <f>155988.36+442.86</f>
        <v>156431.21999999997</v>
      </c>
      <c r="G47" s="695" t="s">
        <v>763</v>
      </c>
    </row>
    <row r="48" spans="1:7" s="395" customFormat="1" ht="18" customHeight="1" x14ac:dyDescent="0.25">
      <c r="A48" s="692" t="s">
        <v>764</v>
      </c>
      <c r="B48" s="486" t="s">
        <v>765</v>
      </c>
      <c r="C48" s="696">
        <v>289636.46999999997</v>
      </c>
      <c r="D48" s="696">
        <v>218827.57</v>
      </c>
      <c r="E48" s="696">
        <v>106274.53</v>
      </c>
      <c r="F48" s="696">
        <v>112553.04</v>
      </c>
      <c r="G48" s="695" t="s">
        <v>763</v>
      </c>
    </row>
    <row r="49" spans="1:7" s="395" customFormat="1" ht="18" customHeight="1" x14ac:dyDescent="0.25">
      <c r="A49" s="692"/>
      <c r="B49" s="486" t="s">
        <v>766</v>
      </c>
      <c r="C49" s="696">
        <v>198682.14</v>
      </c>
      <c r="D49" s="696">
        <f>183791.88-169507.83</f>
        <v>14284.050000000017</v>
      </c>
      <c r="E49" s="696">
        <v>11107.8</v>
      </c>
      <c r="F49" s="696">
        <f>172684.08-169507.83</f>
        <v>3176.25</v>
      </c>
      <c r="G49" s="695" t="s">
        <v>763</v>
      </c>
    </row>
    <row r="50" spans="1:7" s="395" customFormat="1" ht="18" customHeight="1" x14ac:dyDescent="0.25">
      <c r="A50" s="692"/>
      <c r="B50" s="486" t="s">
        <v>767</v>
      </c>
      <c r="C50" s="696">
        <v>118284.74</v>
      </c>
      <c r="D50" s="696">
        <v>73745.460000000006</v>
      </c>
      <c r="E50" s="696">
        <v>55634.29</v>
      </c>
      <c r="F50" s="696">
        <v>18111.169999999998</v>
      </c>
      <c r="G50" s="695" t="s">
        <v>763</v>
      </c>
    </row>
    <row r="51" spans="1:7" s="395" customFormat="1" ht="18" customHeight="1" x14ac:dyDescent="0.25">
      <c r="A51" s="692"/>
      <c r="B51" s="486" t="s">
        <v>768</v>
      </c>
      <c r="C51" s="696">
        <v>109697.17</v>
      </c>
      <c r="D51" s="696">
        <v>20547.13</v>
      </c>
      <c r="E51" s="696">
        <v>945.13</v>
      </c>
      <c r="F51" s="696">
        <v>19602</v>
      </c>
      <c r="G51" s="695" t="s">
        <v>763</v>
      </c>
    </row>
    <row r="52" spans="1:7" s="395" customFormat="1" ht="18" customHeight="1" x14ac:dyDescent="0.25">
      <c r="A52" s="692"/>
      <c r="B52" s="516" t="s">
        <v>769</v>
      </c>
      <c r="C52" s="696">
        <f>978727.29-231920</f>
        <v>746807.29</v>
      </c>
      <c r="D52" s="696">
        <v>288321.5</v>
      </c>
      <c r="E52" s="696">
        <v>217663.01</v>
      </c>
      <c r="F52" s="696">
        <v>70658</v>
      </c>
      <c r="G52" s="522"/>
    </row>
    <row r="53" spans="1:7" s="395" customFormat="1" ht="18" customHeight="1" x14ac:dyDescent="0.2">
      <c r="A53" s="694"/>
      <c r="B53" s="435"/>
      <c r="C53" s="699"/>
      <c r="D53" s="519"/>
      <c r="E53" s="519"/>
      <c r="F53" s="520"/>
      <c r="G53" s="520"/>
    </row>
    <row r="54" spans="1:7" s="395" customFormat="1" ht="18" customHeight="1" x14ac:dyDescent="0.2">
      <c r="A54" s="399"/>
      <c r="B54" s="15"/>
      <c r="C54" s="508"/>
      <c r="D54" s="469"/>
      <c r="E54" s="469"/>
      <c r="F54" s="470"/>
      <c r="G54" s="470"/>
    </row>
    <row r="55" spans="1:7" s="395" customFormat="1" ht="18" customHeight="1" x14ac:dyDescent="0.2">
      <c r="A55" s="397" t="s">
        <v>770</v>
      </c>
      <c r="B55" s="398" t="s">
        <v>771</v>
      </c>
      <c r="C55" s="509">
        <f>C56+C57+C58+C59+C60</f>
        <v>716701</v>
      </c>
      <c r="D55" s="467"/>
      <c r="E55" s="467"/>
      <c r="F55" s="468"/>
      <c r="G55" s="468"/>
    </row>
    <row r="56" spans="1:7" s="395" customFormat="1" ht="18" customHeight="1" x14ac:dyDescent="0.2">
      <c r="A56" s="399" t="s">
        <v>772</v>
      </c>
      <c r="B56" s="15" t="s">
        <v>773</v>
      </c>
      <c r="C56" s="508">
        <v>413307</v>
      </c>
      <c r="D56" s="469"/>
      <c r="E56" s="469"/>
      <c r="F56" s="470"/>
      <c r="G56" s="470"/>
    </row>
    <row r="57" spans="1:7" s="395" customFormat="1" ht="18" customHeight="1" x14ac:dyDescent="0.25">
      <c r="A57" s="399" t="s">
        <v>774</v>
      </c>
      <c r="B57" s="430" t="s">
        <v>775</v>
      </c>
      <c r="C57" s="508">
        <v>272217</v>
      </c>
      <c r="D57" s="469"/>
      <c r="E57" s="469"/>
      <c r="F57" s="470"/>
      <c r="G57" s="470"/>
    </row>
    <row r="58" spans="1:7" s="395" customFormat="1" ht="18" customHeight="1" x14ac:dyDescent="0.25">
      <c r="A58" s="399" t="s">
        <v>776</v>
      </c>
      <c r="B58" s="431" t="s">
        <v>777</v>
      </c>
      <c r="C58" s="508">
        <v>30951</v>
      </c>
      <c r="D58" s="469"/>
      <c r="E58" s="469"/>
      <c r="F58" s="470"/>
      <c r="G58" s="470"/>
    </row>
    <row r="59" spans="1:7" s="395" customFormat="1" ht="18" customHeight="1" x14ac:dyDescent="0.25">
      <c r="A59" s="399" t="s">
        <v>778</v>
      </c>
      <c r="B59" s="431" t="s">
        <v>779</v>
      </c>
      <c r="C59" s="508">
        <v>226</v>
      </c>
      <c r="D59" s="469"/>
      <c r="E59" s="469"/>
      <c r="F59" s="470"/>
      <c r="G59" s="470"/>
    </row>
    <row r="60" spans="1:7" s="395" customFormat="1" ht="18" customHeight="1" x14ac:dyDescent="0.25">
      <c r="A60" s="399"/>
      <c r="B60" s="431" t="s">
        <v>780</v>
      </c>
      <c r="C60" s="508">
        <v>0</v>
      </c>
      <c r="D60" s="469"/>
      <c r="E60" s="469"/>
      <c r="F60" s="470"/>
      <c r="G60" s="470"/>
    </row>
    <row r="61" spans="1:7" s="395" customFormat="1" ht="18" customHeight="1" x14ac:dyDescent="0.25">
      <c r="A61" s="399"/>
      <c r="B61" s="431"/>
      <c r="C61" s="508"/>
      <c r="D61" s="469"/>
      <c r="E61" s="469"/>
      <c r="F61" s="470"/>
      <c r="G61" s="470"/>
    </row>
    <row r="62" spans="1:7" s="395" customFormat="1" ht="18.600000000000001" customHeight="1" x14ac:dyDescent="0.25">
      <c r="A62" s="397" t="s">
        <v>781</v>
      </c>
      <c r="B62" s="433" t="s">
        <v>782</v>
      </c>
      <c r="C62" s="509">
        <f>C63+C64</f>
        <v>873722</v>
      </c>
      <c r="D62" s="467"/>
      <c r="E62" s="467"/>
      <c r="F62" s="468"/>
      <c r="G62" s="468"/>
    </row>
    <row r="63" spans="1:7" s="395" customFormat="1" ht="18" customHeight="1" x14ac:dyDescent="0.25">
      <c r="A63" s="399" t="s">
        <v>783</v>
      </c>
      <c r="B63" s="430" t="s">
        <v>784</v>
      </c>
      <c r="C63" s="508">
        <v>871266</v>
      </c>
      <c r="D63" s="469"/>
      <c r="E63" s="469"/>
      <c r="F63" s="470"/>
      <c r="G63" s="470"/>
    </row>
    <row r="64" spans="1:7" s="395" customFormat="1" ht="18" customHeight="1" x14ac:dyDescent="0.25">
      <c r="A64" s="399" t="s">
        <v>785</v>
      </c>
      <c r="B64" s="431" t="s">
        <v>786</v>
      </c>
      <c r="C64" s="508">
        <v>2456</v>
      </c>
      <c r="D64" s="469"/>
      <c r="E64" s="469"/>
      <c r="F64" s="470"/>
      <c r="G64" s="470"/>
    </row>
    <row r="65" spans="1:7" s="395" customFormat="1" ht="18" customHeight="1" x14ac:dyDescent="0.2">
      <c r="A65" s="399" t="s">
        <v>721</v>
      </c>
      <c r="B65" s="15" t="s">
        <v>719</v>
      </c>
      <c r="C65" s="508"/>
      <c r="D65" s="469"/>
      <c r="E65" s="469"/>
      <c r="F65" s="470"/>
      <c r="G65" s="470"/>
    </row>
    <row r="66" spans="1:7" s="395" customFormat="1" ht="18" customHeight="1" x14ac:dyDescent="0.2">
      <c r="A66" s="399"/>
      <c r="B66" s="15"/>
      <c r="C66" s="508"/>
      <c r="D66" s="469"/>
      <c r="E66" s="469"/>
      <c r="F66" s="470"/>
      <c r="G66" s="470"/>
    </row>
    <row r="67" spans="1:7" s="395" customFormat="1" ht="18" customHeight="1" x14ac:dyDescent="0.2">
      <c r="A67" s="397" t="s">
        <v>787</v>
      </c>
      <c r="B67" s="398" t="s">
        <v>407</v>
      </c>
      <c r="C67" s="509">
        <f>C68+C69+C70+C71+C72+C73+C74+C75+C76</f>
        <v>503554</v>
      </c>
      <c r="D67" s="467"/>
      <c r="E67" s="467"/>
      <c r="F67" s="468"/>
      <c r="G67" s="468"/>
    </row>
    <row r="68" spans="1:7" s="395" customFormat="1" ht="31.5" x14ac:dyDescent="0.25">
      <c r="A68" s="399" t="s">
        <v>788</v>
      </c>
      <c r="B68" s="430" t="s">
        <v>727</v>
      </c>
      <c r="C68" s="508">
        <v>6258</v>
      </c>
      <c r="D68" s="469"/>
      <c r="E68" s="469"/>
      <c r="F68" s="470"/>
      <c r="G68" s="470"/>
    </row>
    <row r="69" spans="1:7" s="395" customFormat="1" ht="31.5" x14ac:dyDescent="0.25">
      <c r="A69" s="399" t="s">
        <v>789</v>
      </c>
      <c r="B69" s="431" t="s">
        <v>729</v>
      </c>
      <c r="C69" s="508">
        <v>13070</v>
      </c>
      <c r="D69" s="469"/>
      <c r="E69" s="469"/>
      <c r="F69" s="470"/>
      <c r="G69" s="470"/>
    </row>
    <row r="70" spans="1:7" s="395" customFormat="1" ht="31.5" x14ac:dyDescent="0.25">
      <c r="A70" s="399" t="s">
        <v>721</v>
      </c>
      <c r="B70" s="431" t="s">
        <v>730</v>
      </c>
      <c r="C70" s="508">
        <v>23039</v>
      </c>
      <c r="D70" s="469"/>
      <c r="E70" s="469"/>
      <c r="F70" s="470"/>
      <c r="G70" s="470"/>
    </row>
    <row r="71" spans="1:7" s="395" customFormat="1" ht="31.5" x14ac:dyDescent="0.25">
      <c r="A71" s="399"/>
      <c r="B71" s="431" t="s">
        <v>731</v>
      </c>
      <c r="C71" s="508">
        <v>107318</v>
      </c>
      <c r="D71" s="469"/>
      <c r="E71" s="469"/>
      <c r="F71" s="470"/>
      <c r="G71" s="470"/>
    </row>
    <row r="72" spans="1:7" s="395" customFormat="1" x14ac:dyDescent="0.25">
      <c r="A72" s="399"/>
      <c r="B72" s="431" t="s">
        <v>732</v>
      </c>
      <c r="C72" s="508">
        <v>81113</v>
      </c>
      <c r="D72" s="469"/>
      <c r="E72" s="469"/>
      <c r="F72" s="470"/>
      <c r="G72" s="470"/>
    </row>
    <row r="73" spans="1:7" s="395" customFormat="1" ht="18" customHeight="1" x14ac:dyDescent="0.25">
      <c r="A73" s="399"/>
      <c r="B73" s="431" t="s">
        <v>733</v>
      </c>
      <c r="C73" s="508">
        <v>9244</v>
      </c>
      <c r="D73" s="469"/>
      <c r="E73" s="469"/>
      <c r="F73" s="470"/>
      <c r="G73" s="470"/>
    </row>
    <row r="74" spans="1:7" s="395" customFormat="1" ht="18" customHeight="1" x14ac:dyDescent="0.25">
      <c r="A74" s="399"/>
      <c r="B74" s="431" t="s">
        <v>734</v>
      </c>
      <c r="C74" s="508">
        <v>8790</v>
      </c>
      <c r="D74" s="469"/>
      <c r="E74" s="469"/>
      <c r="F74" s="470"/>
      <c r="G74" s="470"/>
    </row>
    <row r="75" spans="1:7" s="395" customFormat="1" ht="18" customHeight="1" x14ac:dyDescent="0.25">
      <c r="A75" s="399"/>
      <c r="B75" s="431" t="s">
        <v>735</v>
      </c>
      <c r="C75" s="508">
        <v>119</v>
      </c>
      <c r="D75" s="469"/>
      <c r="E75" s="469"/>
      <c r="F75" s="470"/>
      <c r="G75" s="470"/>
    </row>
    <row r="76" spans="1:7" s="395" customFormat="1" ht="35.25" customHeight="1" x14ac:dyDescent="0.25">
      <c r="A76" s="399"/>
      <c r="B76" s="431" t="s">
        <v>736</v>
      </c>
      <c r="C76" s="508">
        <v>254603</v>
      </c>
      <c r="D76" s="469"/>
      <c r="E76" s="469"/>
      <c r="F76" s="470"/>
      <c r="G76" s="470"/>
    </row>
    <row r="77" spans="1:7" s="395" customFormat="1" ht="18" customHeight="1" x14ac:dyDescent="0.2">
      <c r="A77" s="397" t="s">
        <v>790</v>
      </c>
      <c r="B77" s="398" t="s">
        <v>408</v>
      </c>
      <c r="C77" s="509">
        <f>C78+C79+C80</f>
        <v>925904</v>
      </c>
      <c r="D77" s="467"/>
      <c r="E77" s="467"/>
      <c r="F77" s="468"/>
      <c r="G77" s="468"/>
    </row>
    <row r="78" spans="1:7" s="395" customFormat="1" ht="31.5" x14ac:dyDescent="0.25">
      <c r="A78" s="400" t="s">
        <v>791</v>
      </c>
      <c r="B78" s="432" t="s">
        <v>792</v>
      </c>
      <c r="C78" s="512">
        <v>895710</v>
      </c>
      <c r="D78" s="473"/>
      <c r="E78" s="473"/>
      <c r="F78" s="434"/>
      <c r="G78" s="434"/>
    </row>
    <row r="79" spans="1:7" s="395" customFormat="1" x14ac:dyDescent="0.2">
      <c r="A79" s="400"/>
      <c r="B79" s="14" t="s">
        <v>793</v>
      </c>
      <c r="C79" s="512">
        <v>30194</v>
      </c>
      <c r="D79" s="473"/>
      <c r="E79" s="473"/>
      <c r="F79" s="434"/>
      <c r="G79" s="434"/>
    </row>
    <row r="80" spans="1:7" s="395" customFormat="1" x14ac:dyDescent="0.2">
      <c r="A80" s="400"/>
      <c r="B80" s="14"/>
      <c r="C80" s="512"/>
      <c r="D80" s="473"/>
      <c r="E80" s="473"/>
      <c r="F80" s="434"/>
      <c r="G80" s="434"/>
    </row>
    <row r="81" spans="1:7" s="395" customFormat="1" ht="18" customHeight="1" x14ac:dyDescent="0.2">
      <c r="A81" s="400"/>
      <c r="B81" s="14"/>
      <c r="C81" s="512"/>
      <c r="D81" s="473"/>
      <c r="E81" s="473"/>
      <c r="F81" s="434"/>
      <c r="G81" s="434"/>
    </row>
    <row r="82" spans="1:7" s="395" customFormat="1" ht="18" customHeight="1" x14ac:dyDescent="0.2">
      <c r="A82" s="402"/>
      <c r="B82" s="265" t="s">
        <v>794</v>
      </c>
      <c r="C82" s="689">
        <f>C83+C93+C98+C103+C115+C119</f>
        <v>2412130</v>
      </c>
      <c r="D82" s="533"/>
      <c r="E82" s="533"/>
      <c r="F82" s="534"/>
      <c r="G82" s="534"/>
    </row>
    <row r="83" spans="1:7" s="404" customFormat="1" ht="18" customHeight="1" x14ac:dyDescent="0.2">
      <c r="A83" s="403" t="s">
        <v>716</v>
      </c>
      <c r="B83" s="530" t="s">
        <v>795</v>
      </c>
      <c r="C83" s="528">
        <f>C84+C85+C86+C87+C89+C91</f>
        <v>2388437</v>
      </c>
      <c r="D83" s="528">
        <f>D84+D85+D86+D87+D89+D91</f>
        <v>335216</v>
      </c>
      <c r="E83" s="528">
        <f>E84+E85+E86+E87+E89+E91</f>
        <v>34341</v>
      </c>
      <c r="F83" s="528">
        <f>F84+F85+F86+F87+F89+F91</f>
        <v>300875</v>
      </c>
      <c r="G83" s="528"/>
    </row>
    <row r="84" spans="1:7" s="419" customFormat="1" ht="18" customHeight="1" x14ac:dyDescent="0.25">
      <c r="A84" s="436" t="s">
        <v>717</v>
      </c>
      <c r="B84" s="485" t="s">
        <v>796</v>
      </c>
      <c r="C84" s="521">
        <v>2064949</v>
      </c>
      <c r="D84" s="688">
        <v>17163</v>
      </c>
      <c r="E84" s="688">
        <v>17163</v>
      </c>
      <c r="F84" s="688">
        <v>0</v>
      </c>
      <c r="G84" s="479" t="s">
        <v>797</v>
      </c>
    </row>
    <row r="85" spans="1:7" s="419" customFormat="1" ht="18" customHeight="1" x14ac:dyDescent="0.25">
      <c r="A85" s="436" t="s">
        <v>722</v>
      </c>
      <c r="B85" s="485" t="s">
        <v>798</v>
      </c>
      <c r="C85" s="521">
        <v>96693</v>
      </c>
      <c r="D85" s="688">
        <v>0</v>
      </c>
      <c r="E85" s="688">
        <v>0</v>
      </c>
      <c r="F85" s="688">
        <v>0</v>
      </c>
      <c r="G85" s="479" t="s">
        <v>799</v>
      </c>
    </row>
    <row r="86" spans="1:7" s="419" customFormat="1" ht="18" customHeight="1" x14ac:dyDescent="0.25">
      <c r="A86" s="436" t="s">
        <v>721</v>
      </c>
      <c r="B86" s="485" t="s">
        <v>796</v>
      </c>
      <c r="C86" s="521">
        <v>67509</v>
      </c>
      <c r="D86" s="688">
        <v>0</v>
      </c>
      <c r="E86" s="688">
        <v>0</v>
      </c>
      <c r="F86" s="688">
        <v>0</v>
      </c>
      <c r="G86" s="479" t="s">
        <v>800</v>
      </c>
    </row>
    <row r="87" spans="1:7" s="419" customFormat="1" ht="18" customHeight="1" x14ac:dyDescent="0.25">
      <c r="A87" s="436"/>
      <c r="B87" s="485" t="s">
        <v>801</v>
      </c>
      <c r="C87" s="521">
        <v>29893</v>
      </c>
      <c r="D87" s="688">
        <v>2301</v>
      </c>
      <c r="E87" s="688">
        <v>2301</v>
      </c>
      <c r="F87" s="688">
        <v>0</v>
      </c>
      <c r="G87" s="479" t="s">
        <v>802</v>
      </c>
    </row>
    <row r="88" spans="1:7" s="419" customFormat="1" ht="18" hidden="1" customHeight="1" x14ac:dyDescent="0.25">
      <c r="A88" s="527"/>
      <c r="B88" s="531"/>
      <c r="C88" s="521">
        <v>14757</v>
      </c>
      <c r="D88" s="529"/>
      <c r="E88" s="529"/>
      <c r="F88" s="529"/>
      <c r="G88" s="479"/>
    </row>
    <row r="89" spans="1:7" s="687" customFormat="1" ht="18" customHeight="1" x14ac:dyDescent="0.25">
      <c r="A89" s="685"/>
      <c r="B89" s="686" t="s">
        <v>803</v>
      </c>
      <c r="C89" s="521">
        <v>15386</v>
      </c>
      <c r="D89" s="529">
        <v>15386</v>
      </c>
      <c r="E89" s="529"/>
      <c r="F89" s="529">
        <v>15386</v>
      </c>
      <c r="G89" s="479" t="s">
        <v>804</v>
      </c>
    </row>
    <row r="90" spans="1:7" s="419" customFormat="1" ht="36" hidden="1" customHeight="1" x14ac:dyDescent="0.25">
      <c r="A90" s="527"/>
      <c r="B90" s="486"/>
      <c r="C90" s="521"/>
      <c r="D90" s="529"/>
      <c r="E90" s="529"/>
      <c r="F90" s="529"/>
      <c r="G90" s="479"/>
    </row>
    <row r="91" spans="1:7" s="395" customFormat="1" ht="18" customHeight="1" x14ac:dyDescent="0.25">
      <c r="A91" s="405"/>
      <c r="B91" s="532" t="s">
        <v>805</v>
      </c>
      <c r="C91" s="529">
        <v>114007</v>
      </c>
      <c r="D91" s="529">
        <v>300366</v>
      </c>
      <c r="E91" s="529">
        <v>14877</v>
      </c>
      <c r="F91" s="529">
        <v>285489</v>
      </c>
      <c r="G91" s="479" t="s">
        <v>806</v>
      </c>
    </row>
    <row r="92" spans="1:7" s="395" customFormat="1" ht="18" customHeight="1" x14ac:dyDescent="0.2">
      <c r="A92" s="405"/>
      <c r="B92" s="15"/>
      <c r="C92" s="480"/>
      <c r="D92" s="480"/>
      <c r="E92" s="480"/>
      <c r="F92" s="480"/>
      <c r="G92" s="480"/>
    </row>
    <row r="93" spans="1:7" s="404" customFormat="1" ht="18" customHeight="1" x14ac:dyDescent="0.2">
      <c r="A93" s="403" t="s">
        <v>744</v>
      </c>
      <c r="B93" s="100" t="s">
        <v>807</v>
      </c>
      <c r="C93" s="477">
        <v>0</v>
      </c>
      <c r="D93" s="477"/>
      <c r="E93" s="477"/>
      <c r="F93" s="477"/>
      <c r="G93" s="477"/>
    </row>
    <row r="94" spans="1:7" s="395" customFormat="1" ht="18" customHeight="1" x14ac:dyDescent="0.2">
      <c r="A94" s="405" t="s">
        <v>745</v>
      </c>
      <c r="B94" s="15" t="s">
        <v>719</v>
      </c>
      <c r="C94" s="481"/>
      <c r="D94" s="481"/>
      <c r="E94" s="481"/>
      <c r="F94" s="481"/>
      <c r="G94" s="481"/>
    </row>
    <row r="95" spans="1:7" s="395" customFormat="1" ht="18" customHeight="1" x14ac:dyDescent="0.2">
      <c r="A95" s="405" t="s">
        <v>748</v>
      </c>
      <c r="B95" s="15" t="s">
        <v>719</v>
      </c>
      <c r="C95" s="481"/>
      <c r="D95" s="481"/>
      <c r="E95" s="481"/>
      <c r="F95" s="481"/>
      <c r="G95" s="481"/>
    </row>
    <row r="96" spans="1:7" s="395" customFormat="1" ht="18" customHeight="1" x14ac:dyDescent="0.2">
      <c r="A96" s="405" t="s">
        <v>721</v>
      </c>
      <c r="B96" s="15" t="s">
        <v>719</v>
      </c>
      <c r="C96" s="481"/>
      <c r="D96" s="481"/>
      <c r="E96" s="481"/>
      <c r="F96" s="481"/>
      <c r="G96" s="481"/>
    </row>
    <row r="97" spans="1:7" s="395" customFormat="1" ht="18" customHeight="1" x14ac:dyDescent="0.2">
      <c r="A97" s="405"/>
      <c r="B97" s="15"/>
      <c r="C97" s="481"/>
      <c r="D97" s="481"/>
      <c r="E97" s="481"/>
      <c r="F97" s="481"/>
      <c r="G97" s="481"/>
    </row>
    <row r="98" spans="1:7" s="404" customFormat="1" ht="18" customHeight="1" x14ac:dyDescent="0.2">
      <c r="A98" s="403" t="s">
        <v>808</v>
      </c>
      <c r="B98" s="100" t="s">
        <v>809</v>
      </c>
      <c r="C98" s="477">
        <f>C99+C100+C101</f>
        <v>940</v>
      </c>
      <c r="D98" s="477"/>
      <c r="E98" s="477"/>
      <c r="F98" s="477"/>
      <c r="G98" s="477"/>
    </row>
    <row r="99" spans="1:7" s="404" customFormat="1" ht="18" customHeight="1" x14ac:dyDescent="0.25">
      <c r="A99" s="406" t="s">
        <v>810</v>
      </c>
      <c r="B99" s="430" t="s">
        <v>811</v>
      </c>
      <c r="C99" s="471">
        <v>300</v>
      </c>
      <c r="D99" s="471" t="s">
        <v>453</v>
      </c>
      <c r="E99" s="471" t="s">
        <v>453</v>
      </c>
      <c r="F99" s="471" t="s">
        <v>453</v>
      </c>
      <c r="G99" s="471" t="s">
        <v>812</v>
      </c>
    </row>
    <row r="100" spans="1:7" s="404" customFormat="1" ht="18" customHeight="1" x14ac:dyDescent="0.25">
      <c r="A100" s="406" t="s">
        <v>813</v>
      </c>
      <c r="B100" s="431" t="s">
        <v>814</v>
      </c>
      <c r="C100" s="482">
        <v>572</v>
      </c>
      <c r="D100" s="482" t="s">
        <v>453</v>
      </c>
      <c r="E100" s="482" t="s">
        <v>453</v>
      </c>
      <c r="F100" s="482" t="s">
        <v>453</v>
      </c>
      <c r="G100" s="482" t="s">
        <v>815</v>
      </c>
    </row>
    <row r="101" spans="1:7" s="404" customFormat="1" ht="18" customHeight="1" x14ac:dyDescent="0.2">
      <c r="A101" s="405" t="s">
        <v>721</v>
      </c>
      <c r="B101" s="14" t="s">
        <v>809</v>
      </c>
      <c r="C101" s="481">
        <v>68</v>
      </c>
      <c r="D101" s="483"/>
      <c r="E101" s="483"/>
      <c r="F101" s="483"/>
      <c r="G101" s="483"/>
    </row>
    <row r="102" spans="1:7" s="404" customFormat="1" ht="18" customHeight="1" x14ac:dyDescent="0.2">
      <c r="A102" s="406"/>
      <c r="B102" s="407"/>
      <c r="C102" s="483"/>
      <c r="D102" s="483"/>
      <c r="E102" s="483"/>
      <c r="F102" s="483"/>
      <c r="G102" s="483"/>
    </row>
    <row r="103" spans="1:7" s="404" customFormat="1" ht="18" customHeight="1" x14ac:dyDescent="0.2">
      <c r="A103" s="403" t="s">
        <v>816</v>
      </c>
      <c r="B103" s="100" t="s">
        <v>817</v>
      </c>
      <c r="C103" s="478">
        <f>C104+C105+C106+C107+C108+C109</f>
        <v>22753</v>
      </c>
      <c r="D103" s="477"/>
      <c r="E103" s="477"/>
      <c r="F103" s="477"/>
      <c r="G103" s="478"/>
    </row>
    <row r="104" spans="1:7" s="395" customFormat="1" ht="18" customHeight="1" x14ac:dyDescent="0.25">
      <c r="A104" s="405" t="s">
        <v>818</v>
      </c>
      <c r="B104" s="487" t="s">
        <v>819</v>
      </c>
      <c r="C104" s="521">
        <v>5415</v>
      </c>
      <c r="D104" s="471" t="s">
        <v>453</v>
      </c>
      <c r="E104" s="471" t="s">
        <v>453</v>
      </c>
      <c r="F104" s="490" t="s">
        <v>453</v>
      </c>
      <c r="G104" s="479" t="s">
        <v>820</v>
      </c>
    </row>
    <row r="105" spans="1:7" s="395" customFormat="1" ht="18" customHeight="1" x14ac:dyDescent="0.25">
      <c r="A105" s="405" t="s">
        <v>821</v>
      </c>
      <c r="B105" s="488" t="s">
        <v>822</v>
      </c>
      <c r="C105" s="521">
        <v>977</v>
      </c>
      <c r="D105" s="482" t="s">
        <v>453</v>
      </c>
      <c r="E105" s="482" t="s">
        <v>453</v>
      </c>
      <c r="F105" s="491" t="s">
        <v>453</v>
      </c>
      <c r="G105" s="479" t="s">
        <v>823</v>
      </c>
    </row>
    <row r="106" spans="1:7" s="395" customFormat="1" ht="18" customHeight="1" x14ac:dyDescent="0.25">
      <c r="A106" s="405" t="s">
        <v>824</v>
      </c>
      <c r="B106" s="488" t="s">
        <v>825</v>
      </c>
      <c r="C106" s="521">
        <v>967</v>
      </c>
      <c r="D106" s="482" t="s">
        <v>453</v>
      </c>
      <c r="E106" s="482" t="s">
        <v>453</v>
      </c>
      <c r="F106" s="491" t="s">
        <v>453</v>
      </c>
      <c r="G106" s="479" t="s">
        <v>826</v>
      </c>
    </row>
    <row r="107" spans="1:7" s="395" customFormat="1" ht="31.5" x14ac:dyDescent="0.25">
      <c r="A107" s="405" t="s">
        <v>827</v>
      </c>
      <c r="B107" s="488" t="s">
        <v>828</v>
      </c>
      <c r="C107" s="521">
        <v>10157</v>
      </c>
      <c r="D107" s="482" t="s">
        <v>453</v>
      </c>
      <c r="E107" s="482" t="s">
        <v>453</v>
      </c>
      <c r="F107" s="491" t="s">
        <v>453</v>
      </c>
      <c r="G107" s="479" t="s">
        <v>829</v>
      </c>
    </row>
    <row r="108" spans="1:7" s="395" customFormat="1" ht="31.5" x14ac:dyDescent="0.25">
      <c r="A108" s="405" t="s">
        <v>830</v>
      </c>
      <c r="B108" s="488" t="s">
        <v>831</v>
      </c>
      <c r="C108" s="521">
        <v>3123</v>
      </c>
      <c r="D108" s="482" t="s">
        <v>453</v>
      </c>
      <c r="E108" s="482" t="s">
        <v>453</v>
      </c>
      <c r="F108" s="491" t="s">
        <v>453</v>
      </c>
      <c r="G108" s="489" t="s">
        <v>832</v>
      </c>
    </row>
    <row r="109" spans="1:7" s="395" customFormat="1" ht="42" customHeight="1" x14ac:dyDescent="0.25">
      <c r="A109" s="405"/>
      <c r="B109" s="431" t="s">
        <v>833</v>
      </c>
      <c r="C109" s="526">
        <v>2114</v>
      </c>
      <c r="D109" s="482" t="s">
        <v>453</v>
      </c>
      <c r="E109" s="482" t="s">
        <v>453</v>
      </c>
      <c r="F109" s="491" t="s">
        <v>453</v>
      </c>
      <c r="G109" s="479"/>
    </row>
    <row r="110" spans="1:7" s="395" customFormat="1" ht="18" customHeight="1" x14ac:dyDescent="0.2">
      <c r="A110" s="405"/>
      <c r="B110" s="15"/>
      <c r="C110" s="481"/>
      <c r="D110" s="481"/>
      <c r="E110" s="481"/>
      <c r="F110" s="481"/>
      <c r="G110" s="480"/>
    </row>
    <row r="111" spans="1:7" s="395" customFormat="1" ht="18" customHeight="1" x14ac:dyDescent="0.2">
      <c r="A111" s="405"/>
      <c r="B111" s="15"/>
      <c r="C111" s="481"/>
      <c r="D111" s="481"/>
      <c r="E111" s="481"/>
      <c r="F111" s="481"/>
      <c r="G111" s="481"/>
    </row>
    <row r="112" spans="1:7" s="395" customFormat="1" ht="18" customHeight="1" x14ac:dyDescent="0.2">
      <c r="A112" s="405"/>
      <c r="B112" s="15"/>
      <c r="C112" s="481"/>
      <c r="D112" s="481"/>
      <c r="E112" s="481"/>
      <c r="F112" s="481"/>
      <c r="G112" s="481"/>
    </row>
    <row r="113" spans="1:7" s="395" customFormat="1" ht="18" customHeight="1" x14ac:dyDescent="0.2">
      <c r="A113" s="405"/>
      <c r="B113" s="15"/>
      <c r="C113" s="481"/>
      <c r="D113" s="481"/>
      <c r="E113" s="481"/>
      <c r="F113" s="481"/>
      <c r="G113" s="481"/>
    </row>
    <row r="114" spans="1:7" s="395" customFormat="1" ht="18" customHeight="1" x14ac:dyDescent="0.2">
      <c r="A114" s="405"/>
      <c r="B114" s="15"/>
      <c r="C114" s="481"/>
      <c r="D114" s="481"/>
      <c r="E114" s="481"/>
      <c r="F114" s="481"/>
      <c r="G114" s="481"/>
    </row>
    <row r="115" spans="1:7" s="404" customFormat="1" ht="18" customHeight="1" x14ac:dyDescent="0.2">
      <c r="A115" s="403" t="s">
        <v>834</v>
      </c>
      <c r="B115" s="100" t="s">
        <v>835</v>
      </c>
      <c r="C115" s="477"/>
      <c r="D115" s="477"/>
      <c r="E115" s="477"/>
      <c r="F115" s="477"/>
      <c r="G115" s="477"/>
    </row>
    <row r="116" spans="1:7" s="395" customFormat="1" ht="18" customHeight="1" x14ac:dyDescent="0.2">
      <c r="A116" s="405" t="s">
        <v>836</v>
      </c>
      <c r="B116" s="15" t="s">
        <v>719</v>
      </c>
      <c r="C116" s="481"/>
      <c r="D116" s="481"/>
      <c r="E116" s="481"/>
      <c r="F116" s="481"/>
      <c r="G116" s="481"/>
    </row>
    <row r="117" spans="1:7" s="395" customFormat="1" ht="18" customHeight="1" x14ac:dyDescent="0.2">
      <c r="A117" s="405" t="s">
        <v>837</v>
      </c>
      <c r="B117" s="15" t="s">
        <v>719</v>
      </c>
      <c r="C117" s="481"/>
      <c r="D117" s="481"/>
      <c r="E117" s="481"/>
      <c r="F117" s="481"/>
      <c r="G117" s="481"/>
    </row>
    <row r="118" spans="1:7" s="395" customFormat="1" ht="18" customHeight="1" x14ac:dyDescent="0.2">
      <c r="A118" s="405" t="s">
        <v>721</v>
      </c>
      <c r="B118" s="15" t="s">
        <v>719</v>
      </c>
      <c r="C118" s="481"/>
      <c r="D118" s="481"/>
      <c r="E118" s="481"/>
      <c r="F118" s="481"/>
      <c r="G118" s="481"/>
    </row>
    <row r="119" spans="1:7" s="404" customFormat="1" ht="18" customHeight="1" x14ac:dyDescent="0.2">
      <c r="A119" s="403" t="s">
        <v>838</v>
      </c>
      <c r="B119" s="408" t="s">
        <v>839</v>
      </c>
      <c r="C119" s="477"/>
      <c r="D119" s="477"/>
      <c r="E119" s="477"/>
      <c r="F119" s="477"/>
      <c r="G119" s="477"/>
    </row>
    <row r="121" spans="1:7" x14ac:dyDescent="0.2">
      <c r="A121" s="29" t="s">
        <v>271</v>
      </c>
    </row>
    <row r="122" spans="1:7" ht="46.5" customHeight="1" x14ac:dyDescent="0.2">
      <c r="A122" s="811" t="s">
        <v>840</v>
      </c>
      <c r="B122" s="811"/>
      <c r="C122" s="811"/>
      <c r="D122" s="811"/>
    </row>
    <row r="123" spans="1:7" ht="73.5" customHeight="1" x14ac:dyDescent="0.2">
      <c r="A123" s="811" t="s">
        <v>841</v>
      </c>
      <c r="B123" s="811"/>
      <c r="C123" s="811"/>
      <c r="D123" s="811"/>
    </row>
  </sheetData>
  <mergeCells count="2">
    <mergeCell ref="A122:D122"/>
    <mergeCell ref="A123:D1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2</vt:i4>
      </vt:variant>
    </vt:vector>
  </HeadingPairs>
  <TitlesOfParts>
    <vt:vector size="9" baseType="lpstr">
      <vt:lpstr>Budžeta tāme</vt:lpstr>
      <vt:lpstr>PZ Aprēķins</vt:lpstr>
      <vt:lpstr>Bilance</vt:lpstr>
      <vt:lpstr>Naudas plūsma</vt:lpstr>
      <vt:lpstr>Naturālie rādītāji</vt:lpstr>
      <vt:lpstr>Ieguldījumu tāme</vt:lpstr>
      <vt:lpstr>Kreditori, Debitori</vt:lpstr>
      <vt:lpstr>Bilance!Drukas_apgabals</vt:lpstr>
      <vt:lpstr>'Naturālie rādītāji'!Drukas_apgabals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Karīna Šoka</dc:creator>
  <cp:keywords/>
  <dc:description/>
  <cp:lastModifiedBy>Ieva Kļaviņa</cp:lastModifiedBy>
  <cp:revision/>
  <dcterms:created xsi:type="dcterms:W3CDTF">2015-06-08T06:33:04Z</dcterms:created>
  <dcterms:modified xsi:type="dcterms:W3CDTF">2025-05-26T07:40:53Z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ies>
</file>